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45952</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45952</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45952</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45952</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45952</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45952</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45952</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42635-2025</t>
        </is>
      </c>
      <c r="B9" s="1" t="n">
        <v>45905.90649305555</v>
      </c>
      <c r="C9" s="1" t="n">
        <v>45952</v>
      </c>
      <c r="D9" t="inlineStr">
        <is>
          <t>ÖREBRO LÄN</t>
        </is>
      </c>
      <c r="E9" t="inlineStr">
        <is>
          <t>LINDESBERG</t>
        </is>
      </c>
      <c r="F9" t="inlineStr">
        <is>
          <t>Sveaskog</t>
        </is>
      </c>
      <c r="G9" t="n">
        <v>4.6</v>
      </c>
      <c r="H9" t="n">
        <v>3</v>
      </c>
      <c r="I9" t="n">
        <v>5</v>
      </c>
      <c r="J9" t="n">
        <v>6</v>
      </c>
      <c r="K9" t="n">
        <v>1</v>
      </c>
      <c r="L9" t="n">
        <v>1</v>
      </c>
      <c r="M9" t="n">
        <v>0</v>
      </c>
      <c r="N9" t="n">
        <v>0</v>
      </c>
      <c r="O9" t="n">
        <v>8</v>
      </c>
      <c r="P9" t="n">
        <v>2</v>
      </c>
      <c r="Q9" t="n">
        <v>14</v>
      </c>
      <c r="R9" s="2" t="inlineStr">
        <is>
          <t>Brun glada
Brödtaggsvamp
Gransotdyna
Gultoppig fingersvamp
Motaggsvamp
Svartvit taggsvamp
Talltita
Ullticka
Dropptaggsvamp
Fjällig taggsvamp s.str.
Skarp dropptaggsvamp
Sotriska
Vedticka
Revlummer</t>
        </is>
      </c>
      <c r="S9">
        <f>HYPERLINK("https://klasma.github.io/Logging_1885/artfynd/A 42635-2025 artfynd.xlsx", "A 42635-2025")</f>
        <v/>
      </c>
      <c r="T9">
        <f>HYPERLINK("https://klasma.github.io/Logging_1885/kartor/A 42635-2025 karta.png", "A 42635-2025")</f>
        <v/>
      </c>
      <c r="U9">
        <f>HYPERLINK("https://klasma.github.io/Logging_1885/knärot/A 42635-2025 karta knärot.png", "A 42635-2025")</f>
        <v/>
      </c>
      <c r="V9">
        <f>HYPERLINK("https://klasma.github.io/Logging_1885/klagomål/A 42635-2025 FSC-klagomål.docx", "A 42635-2025")</f>
        <v/>
      </c>
      <c r="W9">
        <f>HYPERLINK("https://klasma.github.io/Logging_1885/klagomålsmail/A 42635-2025 FSC-klagomål mail.docx", "A 42635-2025")</f>
        <v/>
      </c>
      <c r="X9">
        <f>HYPERLINK("https://klasma.github.io/Logging_1885/tillsyn/A 42635-2025 tillsynsbegäran.docx", "A 42635-2025")</f>
        <v/>
      </c>
      <c r="Y9">
        <f>HYPERLINK("https://klasma.github.io/Logging_1885/tillsynsmail/A 42635-2025 tillsynsbegäran mail.docx", "A 42635-2025")</f>
        <v/>
      </c>
      <c r="Z9">
        <f>HYPERLINK("https://klasma.github.io/Logging_1885/fåglar/A 42635-2025 prioriterade fågelarter.docx", "A 42635-2025")</f>
        <v/>
      </c>
    </row>
    <row r="10" ht="15" customHeight="1">
      <c r="A10" t="inlineStr">
        <is>
          <t>A 64125-2021</t>
        </is>
      </c>
      <c r="B10" s="1" t="n">
        <v>44510</v>
      </c>
      <c r="C10" s="1" t="n">
        <v>45952</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66985-2021</t>
        </is>
      </c>
      <c r="B11" s="1" t="n">
        <v>44522</v>
      </c>
      <c r="C11" s="1" t="n">
        <v>45952</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45952</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45952</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46659-2022</t>
        </is>
      </c>
      <c r="B14" s="1" t="n">
        <v>44850.83328703704</v>
      </c>
      <c r="C14" s="1" t="n">
        <v>45952</v>
      </c>
      <c r="D14" t="inlineStr">
        <is>
          <t>ÖREBRO LÄN</t>
        </is>
      </c>
      <c r="E14" t="inlineStr">
        <is>
          <t>LINDESBERG</t>
        </is>
      </c>
      <c r="G14" t="n">
        <v>29</v>
      </c>
      <c r="H14" t="n">
        <v>4</v>
      </c>
      <c r="I14" t="n">
        <v>4</v>
      </c>
      <c r="J14" t="n">
        <v>4</v>
      </c>
      <c r="K14" t="n">
        <v>4</v>
      </c>
      <c r="L14" t="n">
        <v>0</v>
      </c>
      <c r="M14" t="n">
        <v>0</v>
      </c>
      <c r="N14" t="n">
        <v>0</v>
      </c>
      <c r="O14" t="n">
        <v>8</v>
      </c>
      <c r="P14" t="n">
        <v>4</v>
      </c>
      <c r="Q14" t="n">
        <v>12</v>
      </c>
      <c r="R14" s="2" t="inlineStr">
        <is>
          <t>Aspfjädermossa
Knärot
Lakritsmusseron
Rynkskinn
Kandelabersvamp
Rödvingetrast
Spillkråka
Ullticka
Grovticka
Grön sköldmossa
Skinnlav
Vedticka</t>
        </is>
      </c>
      <c r="S14">
        <f>HYPERLINK("https://klasma.github.io/Logging_1885/artfynd/A 46659-2022 artfynd.xlsx", "A 46659-2022")</f>
        <v/>
      </c>
      <c r="T14">
        <f>HYPERLINK("https://klasma.github.io/Logging_1885/kartor/A 46659-2022 karta.png", "A 46659-2022")</f>
        <v/>
      </c>
      <c r="U14">
        <f>HYPERLINK("https://klasma.github.io/Logging_1885/knärot/A 46659-2022 karta knärot.png", "A 46659-2022")</f>
        <v/>
      </c>
      <c r="V14">
        <f>HYPERLINK("https://klasma.github.io/Logging_1885/klagomål/A 46659-2022 FSC-klagomål.docx", "A 46659-2022")</f>
        <v/>
      </c>
      <c r="W14">
        <f>HYPERLINK("https://klasma.github.io/Logging_1885/klagomålsmail/A 46659-2022 FSC-klagomål mail.docx", "A 46659-2022")</f>
        <v/>
      </c>
      <c r="X14">
        <f>HYPERLINK("https://klasma.github.io/Logging_1885/tillsyn/A 46659-2022 tillsynsbegäran.docx", "A 46659-2022")</f>
        <v/>
      </c>
      <c r="Y14">
        <f>HYPERLINK("https://klasma.github.io/Logging_1885/tillsynsmail/A 46659-2022 tillsynsbegäran mail.docx", "A 46659-2022")</f>
        <v/>
      </c>
      <c r="Z14">
        <f>HYPERLINK("https://klasma.github.io/Logging_1885/fåglar/A 46659-2022 prioriterade fågelarter.docx", "A 46659-2022")</f>
        <v/>
      </c>
    </row>
    <row r="15" ht="15" customHeight="1">
      <c r="A15" t="inlineStr">
        <is>
          <t>A 37817-2021</t>
        </is>
      </c>
      <c r="B15" s="1" t="n">
        <v>44403</v>
      </c>
      <c r="C15" s="1" t="n">
        <v>45952</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11286-2021</t>
        </is>
      </c>
      <c r="B16" s="1" t="n">
        <v>44263</v>
      </c>
      <c r="C16" s="1" t="n">
        <v>45952</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45952</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33605-2023</t>
        </is>
      </c>
      <c r="B18" s="1" t="n">
        <v>45132</v>
      </c>
      <c r="C18" s="1" t="n">
        <v>45952</v>
      </c>
      <c r="D18" t="inlineStr">
        <is>
          <t>ÖREBRO LÄN</t>
        </is>
      </c>
      <c r="E18" t="inlineStr">
        <is>
          <t>HÄLLEFORS</t>
        </is>
      </c>
      <c r="F18" t="inlineStr">
        <is>
          <t>Bergvik skog väst AB</t>
        </is>
      </c>
      <c r="G18" t="n">
        <v>3.2</v>
      </c>
      <c r="H18" t="n">
        <v>7</v>
      </c>
      <c r="I18" t="n">
        <v>3</v>
      </c>
      <c r="J18" t="n">
        <v>5</v>
      </c>
      <c r="K18" t="n">
        <v>1</v>
      </c>
      <c r="L18" t="n">
        <v>0</v>
      </c>
      <c r="M18" t="n">
        <v>0</v>
      </c>
      <c r="N18" t="n">
        <v>0</v>
      </c>
      <c r="O18" t="n">
        <v>6</v>
      </c>
      <c r="P18" t="n">
        <v>1</v>
      </c>
      <c r="Q18" t="n">
        <v>11</v>
      </c>
      <c r="R18" s="2" t="inlineStr">
        <is>
          <t>Knärot
Brunlångöra
Granticka
Järpe
Spillkråka
Ärtsångare
Mörk husmossa
Vedticka
Ögonpyrola
Fläcknycklar
Revlummer</t>
        </is>
      </c>
      <c r="S18">
        <f>HYPERLINK("https://klasma.github.io/Logging_1863/artfynd/A 33605-2023 artfynd.xlsx", "A 33605-2023")</f>
        <v/>
      </c>
      <c r="T18">
        <f>HYPERLINK("https://klasma.github.io/Logging_1863/kartor/A 33605-2023 karta.png", "A 33605-2023")</f>
        <v/>
      </c>
      <c r="U18">
        <f>HYPERLINK("https://klasma.github.io/Logging_1863/knärot/A 33605-2023 karta knärot.png", "A 33605-2023")</f>
        <v/>
      </c>
      <c r="V18">
        <f>HYPERLINK("https://klasma.github.io/Logging_1863/klagomål/A 33605-2023 FSC-klagomål.docx", "A 33605-2023")</f>
        <v/>
      </c>
      <c r="W18">
        <f>HYPERLINK("https://klasma.github.io/Logging_1863/klagomålsmail/A 33605-2023 FSC-klagomål mail.docx", "A 33605-2023")</f>
        <v/>
      </c>
      <c r="X18">
        <f>HYPERLINK("https://klasma.github.io/Logging_1863/tillsyn/A 33605-2023 tillsynsbegäran.docx", "A 33605-2023")</f>
        <v/>
      </c>
      <c r="Y18">
        <f>HYPERLINK("https://klasma.github.io/Logging_1863/tillsynsmail/A 33605-2023 tillsynsbegäran mail.docx", "A 33605-2023")</f>
        <v/>
      </c>
      <c r="Z18">
        <f>HYPERLINK("https://klasma.github.io/Logging_1863/fåglar/A 33605-2023 prioriterade fågelarter.docx", "A 33605-2023")</f>
        <v/>
      </c>
    </row>
    <row r="19" ht="15" customHeight="1">
      <c r="A19" t="inlineStr">
        <is>
          <t>A 44844-2022</t>
        </is>
      </c>
      <c r="B19" s="1" t="n">
        <v>44841.45446759259</v>
      </c>
      <c r="C19" s="1" t="n">
        <v>45952</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50773-2022</t>
        </is>
      </c>
      <c r="B20" s="1" t="n">
        <v>44867.4296412037</v>
      </c>
      <c r="C20" s="1" t="n">
        <v>45952</v>
      </c>
      <c r="D20" t="inlineStr">
        <is>
          <t>ÖREBRO LÄN</t>
        </is>
      </c>
      <c r="E20" t="inlineStr">
        <is>
          <t>LAXÅ</t>
        </is>
      </c>
      <c r="F20" t="inlineStr">
        <is>
          <t>Sveaskog</t>
        </is>
      </c>
      <c r="G20" t="n">
        <v>8.199999999999999</v>
      </c>
      <c r="H20" t="n">
        <v>2</v>
      </c>
      <c r="I20" t="n">
        <v>6</v>
      </c>
      <c r="J20" t="n">
        <v>2</v>
      </c>
      <c r="K20" t="n">
        <v>1</v>
      </c>
      <c r="L20" t="n">
        <v>0</v>
      </c>
      <c r="M20" t="n">
        <v>0</v>
      </c>
      <c r="N20" t="n">
        <v>0</v>
      </c>
      <c r="O20" t="n">
        <v>3</v>
      </c>
      <c r="P20" t="n">
        <v>1</v>
      </c>
      <c r="Q20" t="n">
        <v>10</v>
      </c>
      <c r="R20" s="2" t="inlineStr">
        <is>
          <t>Hållav
Motaggsvamp
Tretåig hackspett
Blåmossa
Bronshjon
Kattfotslav
Kornknutmossa
Rostfläck
Thomsons trägnagare
Gröngöling</t>
        </is>
      </c>
      <c r="S20">
        <f>HYPERLINK("https://klasma.github.io/Logging_1860/artfynd/A 50773-2022 artfynd.xlsx", "A 50773-2022")</f>
        <v/>
      </c>
      <c r="T20">
        <f>HYPERLINK("https://klasma.github.io/Logging_1860/kartor/A 50773-2022 karta.png", "A 50773-2022")</f>
        <v/>
      </c>
      <c r="V20">
        <f>HYPERLINK("https://klasma.github.io/Logging_1860/klagomål/A 50773-2022 FSC-klagomål.docx", "A 50773-2022")</f>
        <v/>
      </c>
      <c r="W20">
        <f>HYPERLINK("https://klasma.github.io/Logging_1860/klagomålsmail/A 50773-2022 FSC-klagomål mail.docx", "A 50773-2022")</f>
        <v/>
      </c>
      <c r="X20">
        <f>HYPERLINK("https://klasma.github.io/Logging_1860/tillsyn/A 50773-2022 tillsynsbegäran.docx", "A 50773-2022")</f>
        <v/>
      </c>
      <c r="Y20">
        <f>HYPERLINK("https://klasma.github.io/Logging_1860/tillsynsmail/A 50773-2022 tillsynsbegäran mail.docx", "A 50773-2022")</f>
        <v/>
      </c>
      <c r="Z20">
        <f>HYPERLINK("https://klasma.github.io/Logging_1860/fåglar/A 50773-2022 prioriterade fågelarter.docx", "A 50773-2022")</f>
        <v/>
      </c>
    </row>
    <row r="21" ht="15" customHeight="1">
      <c r="A21" t="inlineStr">
        <is>
          <t>A 34205-2021</t>
        </is>
      </c>
      <c r="B21" s="1" t="n">
        <v>44379</v>
      </c>
      <c r="C21" s="1" t="n">
        <v>45952</v>
      </c>
      <c r="D21" t="inlineStr">
        <is>
          <t>ÖREBRO LÄN</t>
        </is>
      </c>
      <c r="E21" t="inlineStr">
        <is>
          <t>ÖREBRO</t>
        </is>
      </c>
      <c r="G21" t="n">
        <v>0.9</v>
      </c>
      <c r="H21" t="n">
        <v>6</v>
      </c>
      <c r="I21" t="n">
        <v>2</v>
      </c>
      <c r="J21" t="n">
        <v>3</v>
      </c>
      <c r="K21" t="n">
        <v>0</v>
      </c>
      <c r="L21" t="n">
        <v>2</v>
      </c>
      <c r="M21" t="n">
        <v>0</v>
      </c>
      <c r="N21" t="n">
        <v>0</v>
      </c>
      <c r="O21" t="n">
        <v>5</v>
      </c>
      <c r="P21" t="n">
        <v>2</v>
      </c>
      <c r="Q21" t="n">
        <v>10</v>
      </c>
      <c r="R21" s="2" t="inlineStr">
        <is>
          <t>Ask
Tornseglare
Grönsångare
Nordfladdermus
Svinrot
Honungsvaxing
Sotriska
Dvärgpipistrell
Större brunfladdermus
Grönvit nattviol</t>
        </is>
      </c>
      <c r="S21">
        <f>HYPERLINK("https://klasma.github.io/Logging_1880/artfynd/A 34205-2021 artfynd.xlsx", "A 34205-2021")</f>
        <v/>
      </c>
      <c r="T21">
        <f>HYPERLINK("https://klasma.github.io/Logging_1880/kartor/A 34205-2021 karta.png", "A 34205-2021")</f>
        <v/>
      </c>
      <c r="V21">
        <f>HYPERLINK("https://klasma.github.io/Logging_1880/klagomål/A 34205-2021 FSC-klagomål.docx", "A 34205-2021")</f>
        <v/>
      </c>
      <c r="W21">
        <f>HYPERLINK("https://klasma.github.io/Logging_1880/klagomålsmail/A 34205-2021 FSC-klagomål mail.docx", "A 34205-2021")</f>
        <v/>
      </c>
      <c r="X21">
        <f>HYPERLINK("https://klasma.github.io/Logging_1880/tillsyn/A 34205-2021 tillsynsbegäran.docx", "A 34205-2021")</f>
        <v/>
      </c>
      <c r="Y21">
        <f>HYPERLINK("https://klasma.github.io/Logging_1880/tillsynsmail/A 34205-2021 tillsynsbegäran mail.docx", "A 34205-2021")</f>
        <v/>
      </c>
      <c r="Z21">
        <f>HYPERLINK("https://klasma.github.io/Logging_1880/fåglar/A 34205-2021 prioriterade fågelarter.docx", "A 34205-2021")</f>
        <v/>
      </c>
    </row>
    <row r="22" ht="15" customHeight="1">
      <c r="A22" t="inlineStr">
        <is>
          <t>A 58660-2024</t>
        </is>
      </c>
      <c r="B22" s="1" t="n">
        <v>45635</v>
      </c>
      <c r="C22" s="1" t="n">
        <v>45952</v>
      </c>
      <c r="D22" t="inlineStr">
        <is>
          <t>ÖREBRO LÄN</t>
        </is>
      </c>
      <c r="E22" t="inlineStr">
        <is>
          <t>ASKERSUND</t>
        </is>
      </c>
      <c r="F22" t="inlineStr">
        <is>
          <t>Sveaskog</t>
        </is>
      </c>
      <c r="G22" t="n">
        <v>1.1</v>
      </c>
      <c r="H22" t="n">
        <v>2</v>
      </c>
      <c r="I22" t="n">
        <v>8</v>
      </c>
      <c r="J22" t="n">
        <v>0</v>
      </c>
      <c r="K22" t="n">
        <v>0</v>
      </c>
      <c r="L22" t="n">
        <v>1</v>
      </c>
      <c r="M22" t="n">
        <v>0</v>
      </c>
      <c r="N22" t="n">
        <v>0</v>
      </c>
      <c r="O22" t="n">
        <v>1</v>
      </c>
      <c r="P22" t="n">
        <v>1</v>
      </c>
      <c r="Q22" t="n">
        <v>10</v>
      </c>
      <c r="R22" s="2" t="inlineStr">
        <is>
          <t>Rökpipsvamp
Fällmossa
Hasselticka
Nästrot
Svart trolldruva
Trubbfjädermossa
Underviol
Vätteros
Vårärt
Blåsippa</t>
        </is>
      </c>
      <c r="S22">
        <f>HYPERLINK("https://klasma.github.io/Logging_1882/artfynd/A 58660-2024 artfynd.xlsx", "A 58660-2024")</f>
        <v/>
      </c>
      <c r="T22">
        <f>HYPERLINK("https://klasma.github.io/Logging_1882/kartor/A 58660-2024 karta.png", "A 58660-2024")</f>
        <v/>
      </c>
      <c r="V22">
        <f>HYPERLINK("https://klasma.github.io/Logging_1882/klagomål/A 58660-2024 FSC-klagomål.docx", "A 58660-2024")</f>
        <v/>
      </c>
      <c r="W22">
        <f>HYPERLINK("https://klasma.github.io/Logging_1882/klagomålsmail/A 58660-2024 FSC-klagomål mail.docx", "A 58660-2024")</f>
        <v/>
      </c>
      <c r="X22">
        <f>HYPERLINK("https://klasma.github.io/Logging_1882/tillsyn/A 58660-2024 tillsynsbegäran.docx", "A 58660-2024")</f>
        <v/>
      </c>
      <c r="Y22">
        <f>HYPERLINK("https://klasma.github.io/Logging_1882/tillsynsmail/A 58660-2024 tillsynsbegäran mail.docx", "A 58660-2024")</f>
        <v/>
      </c>
    </row>
    <row r="23" ht="15" customHeight="1">
      <c r="A23" t="inlineStr">
        <is>
          <t>A 51567-2025</t>
        </is>
      </c>
      <c r="B23" s="1" t="n">
        <v>45951.31511574074</v>
      </c>
      <c r="C23" s="1" t="n">
        <v>45952</v>
      </c>
      <c r="D23" t="inlineStr">
        <is>
          <t>ÖREBRO LÄN</t>
        </is>
      </c>
      <c r="E23" t="inlineStr">
        <is>
          <t>HÄLLEFORS</t>
        </is>
      </c>
      <c r="F23" t="inlineStr">
        <is>
          <t>Sveaskog</t>
        </is>
      </c>
      <c r="G23" t="n">
        <v>12.1</v>
      </c>
      <c r="H23" t="n">
        <v>4</v>
      </c>
      <c r="I23" t="n">
        <v>1</v>
      </c>
      <c r="J23" t="n">
        <v>7</v>
      </c>
      <c r="K23" t="n">
        <v>1</v>
      </c>
      <c r="L23" t="n">
        <v>0</v>
      </c>
      <c r="M23" t="n">
        <v>0</v>
      </c>
      <c r="N23" t="n">
        <v>0</v>
      </c>
      <c r="O23" t="n">
        <v>8</v>
      </c>
      <c r="P23" t="n">
        <v>1</v>
      </c>
      <c r="Q23" t="n">
        <v>10</v>
      </c>
      <c r="R23" s="2" t="inlineStr">
        <is>
          <t>Norsk näverlav
Dvärgbägarlav
Garnlav
Kolflarnlav
Spillkråka
Talltita
Tretåig hackspett
Vedskivlav
Skuggblåslav
Tjäder</t>
        </is>
      </c>
      <c r="S23">
        <f>HYPERLINK("https://klasma.github.io/Logging_1863/artfynd/A 51567-2025 artfynd.xlsx", "A 51567-2025")</f>
        <v/>
      </c>
      <c r="T23">
        <f>HYPERLINK("https://klasma.github.io/Logging_1863/kartor/A 51567-2025 karta.png", "A 51567-2025")</f>
        <v/>
      </c>
      <c r="V23">
        <f>HYPERLINK("https://klasma.github.io/Logging_1863/klagomål/A 51567-2025 FSC-klagomål.docx", "A 51567-2025")</f>
        <v/>
      </c>
      <c r="W23">
        <f>HYPERLINK("https://klasma.github.io/Logging_1863/klagomålsmail/A 51567-2025 FSC-klagomål mail.docx", "A 51567-2025")</f>
        <v/>
      </c>
      <c r="X23">
        <f>HYPERLINK("https://klasma.github.io/Logging_1863/tillsyn/A 51567-2025 tillsynsbegäran.docx", "A 51567-2025")</f>
        <v/>
      </c>
      <c r="Y23">
        <f>HYPERLINK("https://klasma.github.io/Logging_1863/tillsynsmail/A 51567-2025 tillsynsbegäran mail.docx", "A 51567-2025")</f>
        <v/>
      </c>
      <c r="Z23">
        <f>HYPERLINK("https://klasma.github.io/Logging_1863/fåglar/A 51567-2025 prioriterade fågelarter.docx", "A 51567-2025")</f>
        <v/>
      </c>
    </row>
    <row r="24" ht="15" customHeight="1">
      <c r="A24" t="inlineStr">
        <is>
          <t>A 50292-2021</t>
        </is>
      </c>
      <c r="B24" s="1" t="n">
        <v>44459</v>
      </c>
      <c r="C24" s="1" t="n">
        <v>45952</v>
      </c>
      <c r="D24" t="inlineStr">
        <is>
          <t>ÖREBRO LÄN</t>
        </is>
      </c>
      <c r="E24" t="inlineStr">
        <is>
          <t>LEKEBERG</t>
        </is>
      </c>
      <c r="G24" t="n">
        <v>6.3</v>
      </c>
      <c r="H24" t="n">
        <v>5</v>
      </c>
      <c r="I24" t="n">
        <v>4</v>
      </c>
      <c r="J24" t="n">
        <v>2</v>
      </c>
      <c r="K24" t="n">
        <v>2</v>
      </c>
      <c r="L24" t="n">
        <v>0</v>
      </c>
      <c r="M24" t="n">
        <v>0</v>
      </c>
      <c r="N24" t="n">
        <v>0</v>
      </c>
      <c r="O24" t="n">
        <v>4</v>
      </c>
      <c r="P24" t="n">
        <v>2</v>
      </c>
      <c r="Q24" t="n">
        <v>9</v>
      </c>
      <c r="R24" s="2" t="inlineStr">
        <is>
          <t>Knärot
Rödstrupig piplärka
Spillkråka
Talltita
Grönpyrola
Stubbspretmossa
Västlig hakmossa
Zontaggsvamp
Kungsfågel</t>
        </is>
      </c>
      <c r="S24">
        <f>HYPERLINK("https://klasma.github.io/Logging_1814/artfynd/A 50292-2021 artfynd.xlsx", "A 50292-2021")</f>
        <v/>
      </c>
      <c r="T24">
        <f>HYPERLINK("https://klasma.github.io/Logging_1814/kartor/A 50292-2021 karta.png", "A 50292-2021")</f>
        <v/>
      </c>
      <c r="U24">
        <f>HYPERLINK("https://klasma.github.io/Logging_1814/knärot/A 50292-2021 karta knärot.png", "A 50292-2021")</f>
        <v/>
      </c>
      <c r="V24">
        <f>HYPERLINK("https://klasma.github.io/Logging_1814/klagomål/A 50292-2021 FSC-klagomål.docx", "A 50292-2021")</f>
        <v/>
      </c>
      <c r="W24">
        <f>HYPERLINK("https://klasma.github.io/Logging_1814/klagomålsmail/A 50292-2021 FSC-klagomål mail.docx", "A 50292-2021")</f>
        <v/>
      </c>
      <c r="X24">
        <f>HYPERLINK("https://klasma.github.io/Logging_1814/tillsyn/A 50292-2021 tillsynsbegäran.docx", "A 50292-2021")</f>
        <v/>
      </c>
      <c r="Y24">
        <f>HYPERLINK("https://klasma.github.io/Logging_1814/tillsynsmail/A 50292-2021 tillsynsbegäran mail.docx", "A 50292-2021")</f>
        <v/>
      </c>
      <c r="Z24">
        <f>HYPERLINK("https://klasma.github.io/Logging_1814/fåglar/A 50292-2021 prioriterade fågelarter.docx", "A 50292-2021")</f>
        <v/>
      </c>
    </row>
    <row r="25" ht="15" customHeight="1">
      <c r="A25" t="inlineStr">
        <is>
          <t>A 10992-2025</t>
        </is>
      </c>
      <c r="B25" s="1" t="n">
        <v>45723</v>
      </c>
      <c r="C25" s="1" t="n">
        <v>45952</v>
      </c>
      <c r="D25" t="inlineStr">
        <is>
          <t>ÖREBRO LÄN</t>
        </is>
      </c>
      <c r="E25" t="inlineStr">
        <is>
          <t>ÖREBRO</t>
        </is>
      </c>
      <c r="G25" t="n">
        <v>9.5</v>
      </c>
      <c r="H25" t="n">
        <v>6</v>
      </c>
      <c r="I25" t="n">
        <v>1</v>
      </c>
      <c r="J25" t="n">
        <v>5</v>
      </c>
      <c r="K25" t="n">
        <v>1</v>
      </c>
      <c r="L25" t="n">
        <v>0</v>
      </c>
      <c r="M25" t="n">
        <v>0</v>
      </c>
      <c r="N25" t="n">
        <v>0</v>
      </c>
      <c r="O25" t="n">
        <v>6</v>
      </c>
      <c r="P25" t="n">
        <v>1</v>
      </c>
      <c r="Q25" t="n">
        <v>9</v>
      </c>
      <c r="R25" s="2" t="inlineStr">
        <is>
          <t>Knärot
Entita
Mindre träfjäril
Spillkråka
Tallticka
Tretåig hackspett
Björksplintborre
Grönsiska
Tjäder</t>
        </is>
      </c>
      <c r="S25">
        <f>HYPERLINK("https://klasma.github.io/Logging_1880/artfynd/A 10992-2025 artfynd.xlsx", "A 10992-2025")</f>
        <v/>
      </c>
      <c r="T25">
        <f>HYPERLINK("https://klasma.github.io/Logging_1880/kartor/A 10992-2025 karta.png", "A 10992-2025")</f>
        <v/>
      </c>
      <c r="U25">
        <f>HYPERLINK("https://klasma.github.io/Logging_1880/knärot/A 10992-2025 karta knärot.png", "A 10992-2025")</f>
        <v/>
      </c>
      <c r="V25">
        <f>HYPERLINK("https://klasma.github.io/Logging_1880/klagomål/A 10992-2025 FSC-klagomål.docx", "A 10992-2025")</f>
        <v/>
      </c>
      <c r="W25">
        <f>HYPERLINK("https://klasma.github.io/Logging_1880/klagomålsmail/A 10992-2025 FSC-klagomål mail.docx", "A 10992-2025")</f>
        <v/>
      </c>
      <c r="X25">
        <f>HYPERLINK("https://klasma.github.io/Logging_1880/tillsyn/A 10992-2025 tillsynsbegäran.docx", "A 10992-2025")</f>
        <v/>
      </c>
      <c r="Y25">
        <f>HYPERLINK("https://klasma.github.io/Logging_1880/tillsynsmail/A 10992-2025 tillsynsbegäran mail.docx", "A 10992-2025")</f>
        <v/>
      </c>
      <c r="Z25">
        <f>HYPERLINK("https://klasma.github.io/Logging_1880/fåglar/A 10992-2025 prioriterade fågelarter.docx", "A 10992-2025")</f>
        <v/>
      </c>
    </row>
    <row r="26" ht="15" customHeight="1">
      <c r="A26" t="inlineStr">
        <is>
          <t>A 34275-2025</t>
        </is>
      </c>
      <c r="B26" s="1" t="n">
        <v>45845.86603009259</v>
      </c>
      <c r="C26" s="1" t="n">
        <v>45952</v>
      </c>
      <c r="D26" t="inlineStr">
        <is>
          <t>ÖREBRO LÄN</t>
        </is>
      </c>
      <c r="E26" t="inlineStr">
        <is>
          <t>HALLSBERG</t>
        </is>
      </c>
      <c r="F26" t="inlineStr">
        <is>
          <t>Allmännings- och besparingsskogar</t>
        </is>
      </c>
      <c r="G26" t="n">
        <v>9.800000000000001</v>
      </c>
      <c r="H26" t="n">
        <v>2</v>
      </c>
      <c r="I26" t="n">
        <v>6</v>
      </c>
      <c r="J26" t="n">
        <v>2</v>
      </c>
      <c r="K26" t="n">
        <v>0</v>
      </c>
      <c r="L26" t="n">
        <v>0</v>
      </c>
      <c r="M26" t="n">
        <v>0</v>
      </c>
      <c r="N26" t="n">
        <v>0</v>
      </c>
      <c r="O26" t="n">
        <v>2</v>
      </c>
      <c r="P26" t="n">
        <v>0</v>
      </c>
      <c r="Q26" t="n">
        <v>9</v>
      </c>
      <c r="R26" s="2" t="inlineStr">
        <is>
          <t>Brunpudrad nållav
Spillkråka
Bronshjon
Kornknutmossa
Mindre märgborre
Thomsons trägnagare
Vanlig flatbagge
Vågbandad barkbock
Tjäder</t>
        </is>
      </c>
      <c r="S26">
        <f>HYPERLINK("https://klasma.github.io/Logging_1861/artfynd/A 34275-2025 artfynd.xlsx", "A 34275-2025")</f>
        <v/>
      </c>
      <c r="T26">
        <f>HYPERLINK("https://klasma.github.io/Logging_1861/kartor/A 34275-2025 karta.png", "A 34275-2025")</f>
        <v/>
      </c>
      <c r="V26">
        <f>HYPERLINK("https://klasma.github.io/Logging_1861/klagomål/A 34275-2025 FSC-klagomål.docx", "A 34275-2025")</f>
        <v/>
      </c>
      <c r="W26">
        <f>HYPERLINK("https://klasma.github.io/Logging_1861/klagomålsmail/A 34275-2025 FSC-klagomål mail.docx", "A 34275-2025")</f>
        <v/>
      </c>
      <c r="X26">
        <f>HYPERLINK("https://klasma.github.io/Logging_1861/tillsyn/A 34275-2025 tillsynsbegäran.docx", "A 34275-2025")</f>
        <v/>
      </c>
      <c r="Y26">
        <f>HYPERLINK("https://klasma.github.io/Logging_1861/tillsynsmail/A 34275-2025 tillsynsbegäran mail.docx", "A 34275-2025")</f>
        <v/>
      </c>
      <c r="Z26">
        <f>HYPERLINK("https://klasma.github.io/Logging_1861/fåglar/A 34275-2025 prioriterade fågelarter.docx", "A 34275-2025")</f>
        <v/>
      </c>
    </row>
    <row r="27" ht="15" customHeight="1">
      <c r="A27" t="inlineStr">
        <is>
          <t>A 10247-2025</t>
        </is>
      </c>
      <c r="B27" s="1" t="n">
        <v>45720.35863425926</v>
      </c>
      <c r="C27" s="1" t="n">
        <v>45952</v>
      </c>
      <c r="D27" t="inlineStr">
        <is>
          <t>ÖREBRO LÄN</t>
        </is>
      </c>
      <c r="E27" t="inlineStr">
        <is>
          <t>HALLSBERG</t>
        </is>
      </c>
      <c r="G27" t="n">
        <v>1.5</v>
      </c>
      <c r="H27" t="n">
        <v>5</v>
      </c>
      <c r="I27" t="n">
        <v>2</v>
      </c>
      <c r="J27" t="n">
        <v>3</v>
      </c>
      <c r="K27" t="n">
        <v>0</v>
      </c>
      <c r="L27" t="n">
        <v>1</v>
      </c>
      <c r="M27" t="n">
        <v>0</v>
      </c>
      <c r="N27" t="n">
        <v>0</v>
      </c>
      <c r="O27" t="n">
        <v>4</v>
      </c>
      <c r="P27" t="n">
        <v>1</v>
      </c>
      <c r="Q27" t="n">
        <v>9</v>
      </c>
      <c r="R27" s="2" t="inlineStr">
        <is>
          <t>Ask
Gulsparv
Skogsklocka
Spillkråka
Svart trolldruva
Tibast
Skogsduva
Törnskata
Grönvit nattviol</t>
        </is>
      </c>
      <c r="S27">
        <f>HYPERLINK("https://klasma.github.io/Logging_1861/artfynd/A 10247-2025 artfynd.xlsx", "A 10247-2025")</f>
        <v/>
      </c>
      <c r="T27">
        <f>HYPERLINK("https://klasma.github.io/Logging_1861/kartor/A 10247-2025 karta.png", "A 10247-2025")</f>
        <v/>
      </c>
      <c r="V27">
        <f>HYPERLINK("https://klasma.github.io/Logging_1861/klagomål/A 10247-2025 FSC-klagomål.docx", "A 10247-2025")</f>
        <v/>
      </c>
      <c r="W27">
        <f>HYPERLINK("https://klasma.github.io/Logging_1861/klagomålsmail/A 10247-2025 FSC-klagomål mail.docx", "A 10247-2025")</f>
        <v/>
      </c>
      <c r="X27">
        <f>HYPERLINK("https://klasma.github.io/Logging_1861/tillsyn/A 10247-2025 tillsynsbegäran.docx", "A 10247-2025")</f>
        <v/>
      </c>
      <c r="Y27">
        <f>HYPERLINK("https://klasma.github.io/Logging_1861/tillsynsmail/A 10247-2025 tillsynsbegäran mail.docx", "A 10247-2025")</f>
        <v/>
      </c>
      <c r="Z27">
        <f>HYPERLINK("https://klasma.github.io/Logging_1861/fåglar/A 10247-2025 prioriterade fågelarter.docx", "A 10247-2025")</f>
        <v/>
      </c>
    </row>
    <row r="28" ht="15" customHeight="1">
      <c r="A28" t="inlineStr">
        <is>
          <t>A 37785-2025</t>
        </is>
      </c>
      <c r="B28" s="1" t="n">
        <v>45881.29332175926</v>
      </c>
      <c r="C28" s="1" t="n">
        <v>45952</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32697-2021</t>
        </is>
      </c>
      <c r="B29" s="1" t="n">
        <v>44375</v>
      </c>
      <c r="C29" s="1" t="n">
        <v>45952</v>
      </c>
      <c r="D29" t="inlineStr">
        <is>
          <t>ÖREBRO LÄN</t>
        </is>
      </c>
      <c r="E29" t="inlineStr">
        <is>
          <t>LINDESBERG</t>
        </is>
      </c>
      <c r="F29" t="inlineStr">
        <is>
          <t>Kommuner</t>
        </is>
      </c>
      <c r="G29" t="n">
        <v>9.800000000000001</v>
      </c>
      <c r="H29" t="n">
        <v>1</v>
      </c>
      <c r="I29" t="n">
        <v>4</v>
      </c>
      <c r="J29" t="n">
        <v>2</v>
      </c>
      <c r="K29" t="n">
        <v>0</v>
      </c>
      <c r="L29" t="n">
        <v>1</v>
      </c>
      <c r="M29" t="n">
        <v>0</v>
      </c>
      <c r="N29" t="n">
        <v>0</v>
      </c>
      <c r="O29" t="n">
        <v>3</v>
      </c>
      <c r="P29" t="n">
        <v>1</v>
      </c>
      <c r="Q29" t="n">
        <v>8</v>
      </c>
      <c r="R29" s="2" t="inlineStr">
        <is>
          <t>Ask
Dofttaggsvamp
Gul taggsvamp
Skarp dropptaggsvamp
Smal svampklubba
Svart trolldruva
Tibast
Blåsippa</t>
        </is>
      </c>
      <c r="S29">
        <f>HYPERLINK("https://klasma.github.io/Logging_1885/artfynd/A 32697-2021 artfynd.xlsx", "A 32697-2021")</f>
        <v/>
      </c>
      <c r="T29">
        <f>HYPERLINK("https://klasma.github.io/Logging_1885/kartor/A 32697-2021 karta.png", "A 32697-2021")</f>
        <v/>
      </c>
      <c r="V29">
        <f>HYPERLINK("https://klasma.github.io/Logging_1885/klagomål/A 32697-2021 FSC-klagomål.docx", "A 32697-2021")</f>
        <v/>
      </c>
      <c r="W29">
        <f>HYPERLINK("https://klasma.github.io/Logging_1885/klagomålsmail/A 32697-2021 FSC-klagomål mail.docx", "A 32697-2021")</f>
        <v/>
      </c>
      <c r="X29">
        <f>HYPERLINK("https://klasma.github.io/Logging_1885/tillsyn/A 32697-2021 tillsynsbegäran.docx", "A 32697-2021")</f>
        <v/>
      </c>
      <c r="Y29">
        <f>HYPERLINK("https://klasma.github.io/Logging_1885/tillsynsmail/A 32697-2021 tillsynsbegäran mail.docx", "A 32697-2021")</f>
        <v/>
      </c>
    </row>
    <row r="30" ht="15" customHeight="1">
      <c r="A30" t="inlineStr">
        <is>
          <t>A 57380-2020</t>
        </is>
      </c>
      <c r="B30" s="1" t="n">
        <v>44140</v>
      </c>
      <c r="C30" s="1" t="n">
        <v>45952</v>
      </c>
      <c r="D30" t="inlineStr">
        <is>
          <t>ÖREBRO LÄN</t>
        </is>
      </c>
      <c r="E30" t="inlineStr">
        <is>
          <t>KARLSKOGA</t>
        </is>
      </c>
      <c r="F30" t="inlineStr">
        <is>
          <t>Sveaskog</t>
        </is>
      </c>
      <c r="G30" t="n">
        <v>4.7</v>
      </c>
      <c r="H30" t="n">
        <v>2</v>
      </c>
      <c r="I30" t="n">
        <v>1</v>
      </c>
      <c r="J30" t="n">
        <v>6</v>
      </c>
      <c r="K30" t="n">
        <v>0</v>
      </c>
      <c r="L30" t="n">
        <v>0</v>
      </c>
      <c r="M30" t="n">
        <v>0</v>
      </c>
      <c r="N30" t="n">
        <v>0</v>
      </c>
      <c r="O30" t="n">
        <v>6</v>
      </c>
      <c r="P30" t="n">
        <v>0</v>
      </c>
      <c r="Q30" t="n">
        <v>8</v>
      </c>
      <c r="R30" s="2" t="inlineStr">
        <is>
          <t>Brunpudrad nållav
Garnlav
Skogstrappmossa
Tretåig hackspett
Vedflamlav
Vedskivlav
Vedticka
Tjäder</t>
        </is>
      </c>
      <c r="S30">
        <f>HYPERLINK("https://klasma.github.io/Logging_1883/artfynd/A 57380-2020 artfynd.xlsx", "A 57380-2020")</f>
        <v/>
      </c>
      <c r="T30">
        <f>HYPERLINK("https://klasma.github.io/Logging_1883/kartor/A 57380-2020 karta.png", "A 57380-2020")</f>
        <v/>
      </c>
      <c r="V30">
        <f>HYPERLINK("https://klasma.github.io/Logging_1883/klagomål/A 57380-2020 FSC-klagomål.docx", "A 57380-2020")</f>
        <v/>
      </c>
      <c r="W30">
        <f>HYPERLINK("https://klasma.github.io/Logging_1883/klagomålsmail/A 57380-2020 FSC-klagomål mail.docx", "A 57380-2020")</f>
        <v/>
      </c>
      <c r="X30">
        <f>HYPERLINK("https://klasma.github.io/Logging_1883/tillsyn/A 57380-2020 tillsynsbegäran.docx", "A 57380-2020")</f>
        <v/>
      </c>
      <c r="Y30">
        <f>HYPERLINK("https://klasma.github.io/Logging_1883/tillsynsmail/A 57380-2020 tillsynsbegäran mail.docx", "A 57380-2020")</f>
        <v/>
      </c>
      <c r="Z30">
        <f>HYPERLINK("https://klasma.github.io/Logging_1883/fåglar/A 57380-2020 prioriterade fågelarter.docx", "A 57380-2020")</f>
        <v/>
      </c>
    </row>
    <row r="31" ht="15" customHeight="1">
      <c r="A31" t="inlineStr">
        <is>
          <t>A 3674-2023</t>
        </is>
      </c>
      <c r="B31" s="1" t="n">
        <v>44950</v>
      </c>
      <c r="C31" s="1" t="n">
        <v>45952</v>
      </c>
      <c r="D31" t="inlineStr">
        <is>
          <t>ÖREBRO LÄN</t>
        </is>
      </c>
      <c r="E31" t="inlineStr">
        <is>
          <t>ASKERSUND</t>
        </is>
      </c>
      <c r="G31" t="n">
        <v>7.2</v>
      </c>
      <c r="H31" t="n">
        <v>1</v>
      </c>
      <c r="I31" t="n">
        <v>4</v>
      </c>
      <c r="J31" t="n">
        <v>4</v>
      </c>
      <c r="K31" t="n">
        <v>0</v>
      </c>
      <c r="L31" t="n">
        <v>0</v>
      </c>
      <c r="M31" t="n">
        <v>0</v>
      </c>
      <c r="N31" t="n">
        <v>0</v>
      </c>
      <c r="O31" t="n">
        <v>4</v>
      </c>
      <c r="P31" t="n">
        <v>0</v>
      </c>
      <c r="Q31" t="n">
        <v>8</v>
      </c>
      <c r="R31" s="2" t="inlineStr">
        <is>
          <t>Garnlav
Spillkråka
Tallticka
Ullticka
Blomkålssvamp
Dropptaggsvamp
Vedticka
Zontaggsvamp</t>
        </is>
      </c>
      <c r="S31">
        <f>HYPERLINK("https://klasma.github.io/Logging_1882/artfynd/A 3674-2023 artfynd.xlsx", "A 3674-2023")</f>
        <v/>
      </c>
      <c r="T31">
        <f>HYPERLINK("https://klasma.github.io/Logging_1882/kartor/A 3674-2023 karta.png", "A 3674-2023")</f>
        <v/>
      </c>
      <c r="V31">
        <f>HYPERLINK("https://klasma.github.io/Logging_1882/klagomål/A 3674-2023 FSC-klagomål.docx", "A 3674-2023")</f>
        <v/>
      </c>
      <c r="W31">
        <f>HYPERLINK("https://klasma.github.io/Logging_1882/klagomålsmail/A 3674-2023 FSC-klagomål mail.docx", "A 3674-2023")</f>
        <v/>
      </c>
      <c r="X31">
        <f>HYPERLINK("https://klasma.github.io/Logging_1882/tillsyn/A 3674-2023 tillsynsbegäran.docx", "A 3674-2023")</f>
        <v/>
      </c>
      <c r="Y31">
        <f>HYPERLINK("https://klasma.github.io/Logging_1882/tillsynsmail/A 3674-2023 tillsynsbegäran mail.docx", "A 3674-2023")</f>
        <v/>
      </c>
      <c r="Z31">
        <f>HYPERLINK("https://klasma.github.io/Logging_1882/fåglar/A 3674-2023 prioriterade fågelarter.docx", "A 3674-2023")</f>
        <v/>
      </c>
    </row>
    <row r="32" ht="15" customHeight="1">
      <c r="A32" t="inlineStr">
        <is>
          <t>A 26749-2025</t>
        </is>
      </c>
      <c r="B32" s="1" t="n">
        <v>45810.54824074074</v>
      </c>
      <c r="C32" s="1" t="n">
        <v>45952</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57378-2020</t>
        </is>
      </c>
      <c r="B33" s="1" t="n">
        <v>44140</v>
      </c>
      <c r="C33" s="1" t="n">
        <v>45952</v>
      </c>
      <c r="D33" t="inlineStr">
        <is>
          <t>ÖREBRO LÄN</t>
        </is>
      </c>
      <c r="E33" t="inlineStr">
        <is>
          <t>KARLSKOGA</t>
        </is>
      </c>
      <c r="F33" t="inlineStr">
        <is>
          <t>Sveaskog</t>
        </is>
      </c>
      <c r="G33" t="n">
        <v>2.1</v>
      </c>
      <c r="H33" t="n">
        <v>2</v>
      </c>
      <c r="I33" t="n">
        <v>2</v>
      </c>
      <c r="J33" t="n">
        <v>5</v>
      </c>
      <c r="K33" t="n">
        <v>0</v>
      </c>
      <c r="L33" t="n">
        <v>0</v>
      </c>
      <c r="M33" t="n">
        <v>0</v>
      </c>
      <c r="N33" t="n">
        <v>0</v>
      </c>
      <c r="O33" t="n">
        <v>5</v>
      </c>
      <c r="P33" t="n">
        <v>0</v>
      </c>
      <c r="Q33" t="n">
        <v>7</v>
      </c>
      <c r="R33" s="2" t="inlineStr">
        <is>
          <t>Garnlav
Gränsticka
Gul taggsvamp
Spillkråka
Talltita
Brandticka
Vedticka</t>
        </is>
      </c>
      <c r="S33">
        <f>HYPERLINK("https://klasma.github.io/Logging_1883/artfynd/A 57378-2020 artfynd.xlsx", "A 57378-2020")</f>
        <v/>
      </c>
      <c r="T33">
        <f>HYPERLINK("https://klasma.github.io/Logging_1883/kartor/A 57378-2020 karta.png", "A 57378-2020")</f>
        <v/>
      </c>
      <c r="V33">
        <f>HYPERLINK("https://klasma.github.io/Logging_1883/klagomål/A 57378-2020 FSC-klagomål.docx", "A 57378-2020")</f>
        <v/>
      </c>
      <c r="W33">
        <f>HYPERLINK("https://klasma.github.io/Logging_1883/klagomålsmail/A 57378-2020 FSC-klagomål mail.docx", "A 57378-2020")</f>
        <v/>
      </c>
      <c r="X33">
        <f>HYPERLINK("https://klasma.github.io/Logging_1883/tillsyn/A 57378-2020 tillsynsbegäran.docx", "A 57378-2020")</f>
        <v/>
      </c>
      <c r="Y33">
        <f>HYPERLINK("https://klasma.github.io/Logging_1883/tillsynsmail/A 57378-2020 tillsynsbegäran mail.docx", "A 57378-2020")</f>
        <v/>
      </c>
      <c r="Z33">
        <f>HYPERLINK("https://klasma.github.io/Logging_1883/fåglar/A 57378-2020 prioriterade fågelarter.docx", "A 57378-2020")</f>
        <v/>
      </c>
    </row>
    <row r="34" ht="15" customHeight="1">
      <c r="A34" t="inlineStr">
        <is>
          <t>A 61646-2023</t>
        </is>
      </c>
      <c r="B34" s="1" t="n">
        <v>45263</v>
      </c>
      <c r="C34" s="1" t="n">
        <v>45952</v>
      </c>
      <c r="D34" t="inlineStr">
        <is>
          <t>ÖREBRO LÄN</t>
        </is>
      </c>
      <c r="E34" t="inlineStr">
        <is>
          <t>HALLSBERG</t>
        </is>
      </c>
      <c r="G34" t="n">
        <v>2.9</v>
      </c>
      <c r="H34" t="n">
        <v>1</v>
      </c>
      <c r="I34" t="n">
        <v>4</v>
      </c>
      <c r="J34" t="n">
        <v>1</v>
      </c>
      <c r="K34" t="n">
        <v>0</v>
      </c>
      <c r="L34" t="n">
        <v>1</v>
      </c>
      <c r="M34" t="n">
        <v>0</v>
      </c>
      <c r="N34" t="n">
        <v>0</v>
      </c>
      <c r="O34" t="n">
        <v>2</v>
      </c>
      <c r="P34" t="n">
        <v>1</v>
      </c>
      <c r="Q34" t="n">
        <v>7</v>
      </c>
      <c r="R34" s="2" t="inlineStr">
        <is>
          <t>Ask
Scharlakansvaxing
Gulfotsskölding
Hasselticka
Stubbspretmossa
Svart trolldruva
Blåsippa</t>
        </is>
      </c>
      <c r="S34">
        <f>HYPERLINK("https://klasma.github.io/Logging_1861/artfynd/A 61646-2023 artfynd.xlsx", "A 61646-2023")</f>
        <v/>
      </c>
      <c r="T34">
        <f>HYPERLINK("https://klasma.github.io/Logging_1861/kartor/A 61646-2023 karta.png", "A 61646-2023")</f>
        <v/>
      </c>
      <c r="V34">
        <f>HYPERLINK("https://klasma.github.io/Logging_1861/klagomål/A 61646-2023 FSC-klagomål.docx", "A 61646-2023")</f>
        <v/>
      </c>
      <c r="W34">
        <f>HYPERLINK("https://klasma.github.io/Logging_1861/klagomålsmail/A 61646-2023 FSC-klagomål mail.docx", "A 61646-2023")</f>
        <v/>
      </c>
      <c r="X34">
        <f>HYPERLINK("https://klasma.github.io/Logging_1861/tillsyn/A 61646-2023 tillsynsbegäran.docx", "A 61646-2023")</f>
        <v/>
      </c>
      <c r="Y34">
        <f>HYPERLINK("https://klasma.github.io/Logging_1861/tillsynsmail/A 61646-2023 tillsynsbegäran mail.docx", "A 61646-2023")</f>
        <v/>
      </c>
    </row>
    <row r="35" ht="15" customHeight="1">
      <c r="A35" t="inlineStr">
        <is>
          <t>A 22053-2021</t>
        </is>
      </c>
      <c r="B35" s="1" t="n">
        <v>44323</v>
      </c>
      <c r="C35" s="1" t="n">
        <v>45952</v>
      </c>
      <c r="D35" t="inlineStr">
        <is>
          <t>ÖREBRO LÄN</t>
        </is>
      </c>
      <c r="E35" t="inlineStr">
        <is>
          <t>HÄLLEFORS</t>
        </is>
      </c>
      <c r="F35" t="inlineStr">
        <is>
          <t>Sveaskog</t>
        </is>
      </c>
      <c r="G35" t="n">
        <v>7.6</v>
      </c>
      <c r="H35" t="n">
        <v>2</v>
      </c>
      <c r="I35" t="n">
        <v>3</v>
      </c>
      <c r="J35" t="n">
        <v>3</v>
      </c>
      <c r="K35" t="n">
        <v>0</v>
      </c>
      <c r="L35" t="n">
        <v>0</v>
      </c>
      <c r="M35" t="n">
        <v>0</v>
      </c>
      <c r="N35" t="n">
        <v>0</v>
      </c>
      <c r="O35" t="n">
        <v>3</v>
      </c>
      <c r="P35" t="n">
        <v>0</v>
      </c>
      <c r="Q35" t="n">
        <v>7</v>
      </c>
      <c r="R35" s="2" t="inlineStr">
        <is>
          <t>Lunglav
Skrovellav
Spillkråka
Korallblylav
Stuplav
Västlig hakmossa
Tjäder</t>
        </is>
      </c>
      <c r="S35">
        <f>HYPERLINK("https://klasma.github.io/Logging_1863/artfynd/A 22053-2021 artfynd.xlsx", "A 22053-2021")</f>
        <v/>
      </c>
      <c r="T35">
        <f>HYPERLINK("https://klasma.github.io/Logging_1863/kartor/A 22053-2021 karta.png", "A 22053-2021")</f>
        <v/>
      </c>
      <c r="V35">
        <f>HYPERLINK("https://klasma.github.io/Logging_1863/klagomål/A 22053-2021 FSC-klagomål.docx", "A 22053-2021")</f>
        <v/>
      </c>
      <c r="W35">
        <f>HYPERLINK("https://klasma.github.io/Logging_1863/klagomålsmail/A 22053-2021 FSC-klagomål mail.docx", "A 22053-2021")</f>
        <v/>
      </c>
      <c r="X35">
        <f>HYPERLINK("https://klasma.github.io/Logging_1863/tillsyn/A 22053-2021 tillsynsbegäran.docx", "A 22053-2021")</f>
        <v/>
      </c>
      <c r="Y35">
        <f>HYPERLINK("https://klasma.github.io/Logging_1863/tillsynsmail/A 22053-2021 tillsynsbegäran mail.docx", "A 22053-2021")</f>
        <v/>
      </c>
      <c r="Z35">
        <f>HYPERLINK("https://klasma.github.io/Logging_1863/fåglar/A 22053-2021 prioriterade fågelarter.docx", "A 22053-2021")</f>
        <v/>
      </c>
    </row>
    <row r="36" ht="15" customHeight="1">
      <c r="A36" t="inlineStr">
        <is>
          <t>A 12721-2024</t>
        </is>
      </c>
      <c r="B36" s="1" t="n">
        <v>45384.48111111111</v>
      </c>
      <c r="C36" s="1" t="n">
        <v>45952</v>
      </c>
      <c r="D36" t="inlineStr">
        <is>
          <t>ÖREBRO LÄN</t>
        </is>
      </c>
      <c r="E36" t="inlineStr">
        <is>
          <t>DEGERFORS</t>
        </is>
      </c>
      <c r="F36" t="inlineStr">
        <is>
          <t>Sveaskog</t>
        </is>
      </c>
      <c r="G36" t="n">
        <v>3.5</v>
      </c>
      <c r="H36" t="n">
        <v>4</v>
      </c>
      <c r="I36" t="n">
        <v>1</v>
      </c>
      <c r="J36" t="n">
        <v>4</v>
      </c>
      <c r="K36" t="n">
        <v>0</v>
      </c>
      <c r="L36" t="n">
        <v>0</v>
      </c>
      <c r="M36" t="n">
        <v>0</v>
      </c>
      <c r="N36" t="n">
        <v>0</v>
      </c>
      <c r="O36" t="n">
        <v>4</v>
      </c>
      <c r="P36" t="n">
        <v>0</v>
      </c>
      <c r="Q36" t="n">
        <v>7</v>
      </c>
      <c r="R36" s="2" t="inlineStr">
        <is>
          <t>Kolflarnlav
Spillkråka
Tretåig hackspett
Vaddporing
Flagellkvastmossa
Tjäder
Fläcknycklar</t>
        </is>
      </c>
      <c r="S36">
        <f>HYPERLINK("https://klasma.github.io/Logging_1862/artfynd/A 12721-2024 artfynd.xlsx", "A 12721-2024")</f>
        <v/>
      </c>
      <c r="T36">
        <f>HYPERLINK("https://klasma.github.io/Logging_1862/kartor/A 12721-2024 karta.png", "A 12721-2024")</f>
        <v/>
      </c>
      <c r="V36">
        <f>HYPERLINK("https://klasma.github.io/Logging_1862/klagomål/A 12721-2024 FSC-klagomål.docx", "A 12721-2024")</f>
        <v/>
      </c>
      <c r="W36">
        <f>HYPERLINK("https://klasma.github.io/Logging_1862/klagomålsmail/A 12721-2024 FSC-klagomål mail.docx", "A 12721-2024")</f>
        <v/>
      </c>
      <c r="X36">
        <f>HYPERLINK("https://klasma.github.io/Logging_1862/tillsyn/A 12721-2024 tillsynsbegäran.docx", "A 12721-2024")</f>
        <v/>
      </c>
      <c r="Y36">
        <f>HYPERLINK("https://klasma.github.io/Logging_1862/tillsynsmail/A 12721-2024 tillsynsbegäran mail.docx", "A 12721-2024")</f>
        <v/>
      </c>
      <c r="Z36">
        <f>HYPERLINK("https://klasma.github.io/Logging_1862/fåglar/A 12721-2024 prioriterade fågelarter.docx", "A 12721-2024")</f>
        <v/>
      </c>
    </row>
    <row r="37" ht="15" customHeight="1">
      <c r="A37" t="inlineStr">
        <is>
          <t>A 1791-2022</t>
        </is>
      </c>
      <c r="B37" s="1" t="n">
        <v>44574</v>
      </c>
      <c r="C37" s="1" t="n">
        <v>45952</v>
      </c>
      <c r="D37" t="inlineStr">
        <is>
          <t>ÖREBRO LÄN</t>
        </is>
      </c>
      <c r="E37" t="inlineStr">
        <is>
          <t>ASKERSUND</t>
        </is>
      </c>
      <c r="G37" t="n">
        <v>8</v>
      </c>
      <c r="H37" t="n">
        <v>1</v>
      </c>
      <c r="I37" t="n">
        <v>1</v>
      </c>
      <c r="J37" t="n">
        <v>5</v>
      </c>
      <c r="K37" t="n">
        <v>0</v>
      </c>
      <c r="L37" t="n">
        <v>0</v>
      </c>
      <c r="M37" t="n">
        <v>0</v>
      </c>
      <c r="N37" t="n">
        <v>0</v>
      </c>
      <c r="O37" t="n">
        <v>5</v>
      </c>
      <c r="P37" t="n">
        <v>0</v>
      </c>
      <c r="Q37" t="n">
        <v>7</v>
      </c>
      <c r="R37" s="2" t="inlineStr">
        <is>
          <t>Gullklöver
Slåtterfibbla
Sommarfibbla
Svinrot
Vårstarr
Springkorn
Gullviva</t>
        </is>
      </c>
      <c r="S37">
        <f>HYPERLINK("https://klasma.github.io/Logging_1882/artfynd/A 1791-2022 artfynd.xlsx", "A 1791-2022")</f>
        <v/>
      </c>
      <c r="T37">
        <f>HYPERLINK("https://klasma.github.io/Logging_1882/kartor/A 1791-2022 karta.png", "A 1791-2022")</f>
        <v/>
      </c>
      <c r="V37">
        <f>HYPERLINK("https://klasma.github.io/Logging_1882/klagomål/A 1791-2022 FSC-klagomål.docx", "A 1791-2022")</f>
        <v/>
      </c>
      <c r="W37">
        <f>HYPERLINK("https://klasma.github.io/Logging_1882/klagomålsmail/A 1791-2022 FSC-klagomål mail.docx", "A 1791-2022")</f>
        <v/>
      </c>
      <c r="X37">
        <f>HYPERLINK("https://klasma.github.io/Logging_1882/tillsyn/A 1791-2022 tillsynsbegäran.docx", "A 1791-2022")</f>
        <v/>
      </c>
      <c r="Y37">
        <f>HYPERLINK("https://klasma.github.io/Logging_1882/tillsynsmail/A 1791-2022 tillsynsbegäran mail.docx", "A 1791-2022")</f>
        <v/>
      </c>
    </row>
    <row r="38" ht="15" customHeight="1">
      <c r="A38" t="inlineStr">
        <is>
          <t>A 16398-2025</t>
        </is>
      </c>
      <c r="B38" s="1" t="n">
        <v>45751.44270833334</v>
      </c>
      <c r="C38" s="1" t="n">
        <v>45952</v>
      </c>
      <c r="D38" t="inlineStr">
        <is>
          <t>ÖREBRO LÄN</t>
        </is>
      </c>
      <c r="E38" t="inlineStr">
        <is>
          <t>NORA</t>
        </is>
      </c>
      <c r="G38" t="n">
        <v>7</v>
      </c>
      <c r="H38" t="n">
        <v>2</v>
      </c>
      <c r="I38" t="n">
        <v>2</v>
      </c>
      <c r="J38" t="n">
        <v>3</v>
      </c>
      <c r="K38" t="n">
        <v>1</v>
      </c>
      <c r="L38" t="n">
        <v>0</v>
      </c>
      <c r="M38" t="n">
        <v>0</v>
      </c>
      <c r="N38" t="n">
        <v>0</v>
      </c>
      <c r="O38" t="n">
        <v>4</v>
      </c>
      <c r="P38" t="n">
        <v>1</v>
      </c>
      <c r="Q38" t="n">
        <v>7</v>
      </c>
      <c r="R38" s="2" t="inlineStr">
        <is>
          <t>Lakritsmusseron
Motaggsvamp
Skrovlig taggsvamp
Spillkråka
Dropptaggsvamp
Fjällig taggsvamp s.str.
Tjäder</t>
        </is>
      </c>
      <c r="S38">
        <f>HYPERLINK("https://klasma.github.io/Logging_1884/artfynd/A 16398-2025 artfynd.xlsx", "A 16398-2025")</f>
        <v/>
      </c>
      <c r="T38">
        <f>HYPERLINK("https://klasma.github.io/Logging_1884/kartor/A 16398-2025 karta.png", "A 16398-2025")</f>
        <v/>
      </c>
      <c r="V38">
        <f>HYPERLINK("https://klasma.github.io/Logging_1884/klagomål/A 16398-2025 FSC-klagomål.docx", "A 16398-2025")</f>
        <v/>
      </c>
      <c r="W38">
        <f>HYPERLINK("https://klasma.github.io/Logging_1884/klagomålsmail/A 16398-2025 FSC-klagomål mail.docx", "A 16398-2025")</f>
        <v/>
      </c>
      <c r="X38">
        <f>HYPERLINK("https://klasma.github.io/Logging_1884/tillsyn/A 16398-2025 tillsynsbegäran.docx", "A 16398-2025")</f>
        <v/>
      </c>
      <c r="Y38">
        <f>HYPERLINK("https://klasma.github.io/Logging_1884/tillsynsmail/A 16398-2025 tillsynsbegäran mail.docx", "A 16398-2025")</f>
        <v/>
      </c>
      <c r="Z38">
        <f>HYPERLINK("https://klasma.github.io/Logging_1884/fåglar/A 16398-2025 prioriterade fågelarter.docx", "A 16398-2025")</f>
        <v/>
      </c>
    </row>
    <row r="39" ht="15" customHeight="1">
      <c r="A39" t="inlineStr">
        <is>
          <t>A 65215-2021</t>
        </is>
      </c>
      <c r="B39" s="1" t="n">
        <v>44515</v>
      </c>
      <c r="C39" s="1" t="n">
        <v>45952</v>
      </c>
      <c r="D39" t="inlineStr">
        <is>
          <t>ÖREBRO LÄN</t>
        </is>
      </c>
      <c r="E39" t="inlineStr">
        <is>
          <t>LJUSNARSBERG</t>
        </is>
      </c>
      <c r="F39" t="inlineStr">
        <is>
          <t>Bergvik skog väst AB</t>
        </is>
      </c>
      <c r="G39" t="n">
        <v>2.2</v>
      </c>
      <c r="H39" t="n">
        <v>1</v>
      </c>
      <c r="I39" t="n">
        <v>3</v>
      </c>
      <c r="J39" t="n">
        <v>4</v>
      </c>
      <c r="K39" t="n">
        <v>0</v>
      </c>
      <c r="L39" t="n">
        <v>0</v>
      </c>
      <c r="M39" t="n">
        <v>0</v>
      </c>
      <c r="N39" t="n">
        <v>0</v>
      </c>
      <c r="O39" t="n">
        <v>4</v>
      </c>
      <c r="P39" t="n">
        <v>0</v>
      </c>
      <c r="Q39" t="n">
        <v>7</v>
      </c>
      <c r="R39" s="2" t="inlineStr">
        <is>
          <t>Brunpudrad nållav
Garnlav
Tretåig hackspett
Vedtrappmossa
Flagellkvastmossa
Gulnål
Mindre märgborre</t>
        </is>
      </c>
      <c r="S39">
        <f>HYPERLINK("https://klasma.github.io/Logging_1864/artfynd/A 65215-2021 artfynd.xlsx", "A 65215-2021")</f>
        <v/>
      </c>
      <c r="T39">
        <f>HYPERLINK("https://klasma.github.io/Logging_1864/kartor/A 65215-2021 karta.png", "A 65215-2021")</f>
        <v/>
      </c>
      <c r="V39">
        <f>HYPERLINK("https://klasma.github.io/Logging_1864/klagomål/A 65215-2021 FSC-klagomål.docx", "A 65215-2021")</f>
        <v/>
      </c>
      <c r="W39">
        <f>HYPERLINK("https://klasma.github.io/Logging_1864/klagomålsmail/A 65215-2021 FSC-klagomål mail.docx", "A 65215-2021")</f>
        <v/>
      </c>
      <c r="X39">
        <f>HYPERLINK("https://klasma.github.io/Logging_1864/tillsyn/A 65215-2021 tillsynsbegäran.docx", "A 65215-2021")</f>
        <v/>
      </c>
      <c r="Y39">
        <f>HYPERLINK("https://klasma.github.io/Logging_1864/tillsynsmail/A 65215-2021 tillsynsbegäran mail.docx", "A 65215-2021")</f>
        <v/>
      </c>
      <c r="Z39">
        <f>HYPERLINK("https://klasma.github.io/Logging_1864/fåglar/A 65215-2021 prioriterade fågelarter.docx", "A 65215-2021")</f>
        <v/>
      </c>
    </row>
    <row r="40" ht="15" customHeight="1">
      <c r="A40" t="inlineStr">
        <is>
          <t>A 12719-2024</t>
        </is>
      </c>
      <c r="B40" s="1" t="n">
        <v>45384</v>
      </c>
      <c r="C40" s="1" t="n">
        <v>45952</v>
      </c>
      <c r="D40" t="inlineStr">
        <is>
          <t>ÖREBRO LÄN</t>
        </is>
      </c>
      <c r="E40" t="inlineStr">
        <is>
          <t>DEGERFORS</t>
        </is>
      </c>
      <c r="F40" t="inlineStr">
        <is>
          <t>Sveaskog</t>
        </is>
      </c>
      <c r="G40" t="n">
        <v>11.7</v>
      </c>
      <c r="H40" t="n">
        <v>5</v>
      </c>
      <c r="I40" t="n">
        <v>0</v>
      </c>
      <c r="J40" t="n">
        <v>3</v>
      </c>
      <c r="K40" t="n">
        <v>0</v>
      </c>
      <c r="L40" t="n">
        <v>0</v>
      </c>
      <c r="M40" t="n">
        <v>0</v>
      </c>
      <c r="N40" t="n">
        <v>0</v>
      </c>
      <c r="O40" t="n">
        <v>3</v>
      </c>
      <c r="P40" t="n">
        <v>0</v>
      </c>
      <c r="Q40" t="n">
        <v>7</v>
      </c>
      <c r="R40" s="2" t="inlineStr">
        <is>
          <t>Motaggsvamp
Svinrot
Tretåig hackspett
Sparvuggla
Tjäder
Åkergroda
Fläcknycklar</t>
        </is>
      </c>
      <c r="S40">
        <f>HYPERLINK("https://klasma.github.io/Logging_1862/artfynd/A 12719-2024 artfynd.xlsx", "A 12719-2024")</f>
        <v/>
      </c>
      <c r="T40">
        <f>HYPERLINK("https://klasma.github.io/Logging_1862/kartor/A 12719-2024 karta.png", "A 12719-2024")</f>
        <v/>
      </c>
      <c r="V40">
        <f>HYPERLINK("https://klasma.github.io/Logging_1862/klagomål/A 12719-2024 FSC-klagomål.docx", "A 12719-2024")</f>
        <v/>
      </c>
      <c r="W40">
        <f>HYPERLINK("https://klasma.github.io/Logging_1862/klagomålsmail/A 12719-2024 FSC-klagomål mail.docx", "A 12719-2024")</f>
        <v/>
      </c>
      <c r="X40">
        <f>HYPERLINK("https://klasma.github.io/Logging_1862/tillsyn/A 12719-2024 tillsynsbegäran.docx", "A 12719-2024")</f>
        <v/>
      </c>
      <c r="Y40">
        <f>HYPERLINK("https://klasma.github.io/Logging_1862/tillsynsmail/A 12719-2024 tillsynsbegäran mail.docx", "A 12719-2024")</f>
        <v/>
      </c>
      <c r="Z40">
        <f>HYPERLINK("https://klasma.github.io/Logging_1862/fåglar/A 12719-2024 prioriterade fågelarter.docx", "A 12719-2024")</f>
        <v/>
      </c>
    </row>
    <row r="41" ht="15" customHeight="1">
      <c r="A41" t="inlineStr">
        <is>
          <t>A 42634-2025</t>
        </is>
      </c>
      <c r="B41" s="1" t="n">
        <v>45905.90519675926</v>
      </c>
      <c r="C41" s="1" t="n">
        <v>45952</v>
      </c>
      <c r="D41" t="inlineStr">
        <is>
          <t>ÖREBRO LÄN</t>
        </is>
      </c>
      <c r="E41" t="inlineStr">
        <is>
          <t>LINDESBERG</t>
        </is>
      </c>
      <c r="F41" t="inlineStr">
        <is>
          <t>Sveaskog</t>
        </is>
      </c>
      <c r="G41" t="n">
        <v>3.6</v>
      </c>
      <c r="H41" t="n">
        <v>2</v>
      </c>
      <c r="I41" t="n">
        <v>1</v>
      </c>
      <c r="J41" t="n">
        <v>4</v>
      </c>
      <c r="K41" t="n">
        <v>1</v>
      </c>
      <c r="L41" t="n">
        <v>0</v>
      </c>
      <c r="M41" t="n">
        <v>0</v>
      </c>
      <c r="N41" t="n">
        <v>0</v>
      </c>
      <c r="O41" t="n">
        <v>5</v>
      </c>
      <c r="P41" t="n">
        <v>1</v>
      </c>
      <c r="Q41" t="n">
        <v>7</v>
      </c>
      <c r="R41" s="2" t="inlineStr">
        <is>
          <t>Rotfingersvamp
Havsörn
Kandelabersvamp
Motaggsvamp
Svartvit taggsvamp
Dropptaggsvamp
Mattlummer</t>
        </is>
      </c>
      <c r="S41">
        <f>HYPERLINK("https://klasma.github.io/Logging_1885/artfynd/A 42634-2025 artfynd.xlsx", "A 42634-2025")</f>
        <v/>
      </c>
      <c r="T41">
        <f>HYPERLINK("https://klasma.github.io/Logging_1885/kartor/A 42634-2025 karta.png", "A 42634-2025")</f>
        <v/>
      </c>
      <c r="U41">
        <f>HYPERLINK("https://klasma.github.io/Logging_1885/knärot/A 42634-2025 karta knärot.png", "A 42634-2025")</f>
        <v/>
      </c>
      <c r="V41">
        <f>HYPERLINK("https://klasma.github.io/Logging_1885/klagomål/A 42634-2025 FSC-klagomål.docx", "A 42634-2025")</f>
        <v/>
      </c>
      <c r="W41">
        <f>HYPERLINK("https://klasma.github.io/Logging_1885/klagomålsmail/A 42634-2025 FSC-klagomål mail.docx", "A 42634-2025")</f>
        <v/>
      </c>
      <c r="X41">
        <f>HYPERLINK("https://klasma.github.io/Logging_1885/tillsyn/A 42634-2025 tillsynsbegäran.docx", "A 42634-2025")</f>
        <v/>
      </c>
      <c r="Y41">
        <f>HYPERLINK("https://klasma.github.io/Logging_1885/tillsynsmail/A 42634-2025 tillsynsbegäran mail.docx", "A 42634-2025")</f>
        <v/>
      </c>
      <c r="Z41">
        <f>HYPERLINK("https://klasma.github.io/Logging_1885/fåglar/A 42634-2025 prioriterade fågelarter.docx", "A 42634-2025")</f>
        <v/>
      </c>
    </row>
    <row r="42" ht="15" customHeight="1">
      <c r="A42" t="inlineStr">
        <is>
          <t>A 43083-2025</t>
        </is>
      </c>
      <c r="B42" s="1" t="n">
        <v>45909.6125925926</v>
      </c>
      <c r="C42" s="1" t="n">
        <v>45952</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38385-2021</t>
        </is>
      </c>
      <c r="B43" s="1" t="n">
        <v>44406</v>
      </c>
      <c r="C43" s="1" t="n">
        <v>45952</v>
      </c>
      <c r="D43" t="inlineStr">
        <is>
          <t>ÖREBRO LÄN</t>
        </is>
      </c>
      <c r="E43" t="inlineStr">
        <is>
          <t>LINDESBERG</t>
        </is>
      </c>
      <c r="F43" t="inlineStr">
        <is>
          <t>Sveaskog</t>
        </is>
      </c>
      <c r="G43" t="n">
        <v>2</v>
      </c>
      <c r="H43" t="n">
        <v>0</v>
      </c>
      <c r="I43" t="n">
        <v>5</v>
      </c>
      <c r="J43" t="n">
        <v>1</v>
      </c>
      <c r="K43" t="n">
        <v>0</v>
      </c>
      <c r="L43" t="n">
        <v>0</v>
      </c>
      <c r="M43" t="n">
        <v>0</v>
      </c>
      <c r="N43" t="n">
        <v>0</v>
      </c>
      <c r="O43" t="n">
        <v>1</v>
      </c>
      <c r="P43" t="n">
        <v>0</v>
      </c>
      <c r="Q43" t="n">
        <v>6</v>
      </c>
      <c r="R43" s="2" t="inlineStr">
        <is>
          <t>Grantaggsvamp
Bronshjon
Flagellkvastmossa
Mindre märgborre
Stor revmossa
Vedticka</t>
        </is>
      </c>
      <c r="S43">
        <f>HYPERLINK("https://klasma.github.io/Logging_1885/artfynd/A 38385-2021 artfynd.xlsx", "A 38385-2021")</f>
        <v/>
      </c>
      <c r="T43">
        <f>HYPERLINK("https://klasma.github.io/Logging_1885/kartor/A 38385-2021 karta.png", "A 38385-2021")</f>
        <v/>
      </c>
      <c r="V43">
        <f>HYPERLINK("https://klasma.github.io/Logging_1885/klagomål/A 38385-2021 FSC-klagomål.docx", "A 38385-2021")</f>
        <v/>
      </c>
      <c r="W43">
        <f>HYPERLINK("https://klasma.github.io/Logging_1885/klagomålsmail/A 38385-2021 FSC-klagomål mail.docx", "A 38385-2021")</f>
        <v/>
      </c>
      <c r="X43">
        <f>HYPERLINK("https://klasma.github.io/Logging_1885/tillsyn/A 38385-2021 tillsynsbegäran.docx", "A 38385-2021")</f>
        <v/>
      </c>
      <c r="Y43">
        <f>HYPERLINK("https://klasma.github.io/Logging_1885/tillsynsmail/A 38385-2021 tillsynsbegäran mail.docx", "A 38385-2021")</f>
        <v/>
      </c>
    </row>
    <row r="44" ht="15" customHeight="1">
      <c r="A44" t="inlineStr">
        <is>
          <t>A 58756-2020</t>
        </is>
      </c>
      <c r="B44" s="1" t="n">
        <v>44146</v>
      </c>
      <c r="C44" s="1" t="n">
        <v>45952</v>
      </c>
      <c r="D44" t="inlineStr">
        <is>
          <t>ÖREBRO LÄN</t>
        </is>
      </c>
      <c r="E44" t="inlineStr">
        <is>
          <t>HÄLLEFORS</t>
        </is>
      </c>
      <c r="F44" t="inlineStr">
        <is>
          <t>Sveaskog</t>
        </is>
      </c>
      <c r="G44" t="n">
        <v>2</v>
      </c>
      <c r="H44" t="n">
        <v>2</v>
      </c>
      <c r="I44" t="n">
        <v>2</v>
      </c>
      <c r="J44" t="n">
        <v>2</v>
      </c>
      <c r="K44" t="n">
        <v>1</v>
      </c>
      <c r="L44" t="n">
        <v>0</v>
      </c>
      <c r="M44" t="n">
        <v>0</v>
      </c>
      <c r="N44" t="n">
        <v>0</v>
      </c>
      <c r="O44" t="n">
        <v>3</v>
      </c>
      <c r="P44" t="n">
        <v>1</v>
      </c>
      <c r="Q44" t="n">
        <v>6</v>
      </c>
      <c r="R44" s="2" t="inlineStr">
        <is>
          <t>Norsk näverlav
Tretåig hackspett
Vedskivlav
Skuggblåslav
Vedticka
Tjäder</t>
        </is>
      </c>
      <c r="S44">
        <f>HYPERLINK("https://klasma.github.io/Logging_1863/artfynd/A 58756-2020 artfynd.xlsx", "A 58756-2020")</f>
        <v/>
      </c>
      <c r="T44">
        <f>HYPERLINK("https://klasma.github.io/Logging_1863/kartor/A 58756-2020 karta.png", "A 58756-2020")</f>
        <v/>
      </c>
      <c r="U44">
        <f>HYPERLINK("https://klasma.github.io/Logging_1863/knärot/A 58756-2020 karta knärot.png", "A 58756-2020")</f>
        <v/>
      </c>
      <c r="V44">
        <f>HYPERLINK("https://klasma.github.io/Logging_1863/klagomål/A 58756-2020 FSC-klagomål.docx", "A 58756-2020")</f>
        <v/>
      </c>
      <c r="W44">
        <f>HYPERLINK("https://klasma.github.io/Logging_1863/klagomålsmail/A 58756-2020 FSC-klagomål mail.docx", "A 58756-2020")</f>
        <v/>
      </c>
      <c r="X44">
        <f>HYPERLINK("https://klasma.github.io/Logging_1863/tillsyn/A 58756-2020 tillsynsbegäran.docx", "A 58756-2020")</f>
        <v/>
      </c>
      <c r="Y44">
        <f>HYPERLINK("https://klasma.github.io/Logging_1863/tillsynsmail/A 58756-2020 tillsynsbegäran mail.docx", "A 58756-2020")</f>
        <v/>
      </c>
      <c r="Z44">
        <f>HYPERLINK("https://klasma.github.io/Logging_1863/fåglar/A 58756-2020 prioriterade fågelarter.docx", "A 58756-2020")</f>
        <v/>
      </c>
    </row>
    <row r="45" ht="15" customHeight="1">
      <c r="A45" t="inlineStr">
        <is>
          <t>A 60559-2020</t>
        </is>
      </c>
      <c r="B45" s="1" t="n">
        <v>44153</v>
      </c>
      <c r="C45" s="1" t="n">
        <v>45952</v>
      </c>
      <c r="D45" t="inlineStr">
        <is>
          <t>ÖREBRO LÄN</t>
        </is>
      </c>
      <c r="E45" t="inlineStr">
        <is>
          <t>HALLSBERG</t>
        </is>
      </c>
      <c r="F45" t="inlineStr">
        <is>
          <t>Kyrkan</t>
        </is>
      </c>
      <c r="G45" t="n">
        <v>27.7</v>
      </c>
      <c r="H45" t="n">
        <v>3</v>
      </c>
      <c r="I45" t="n">
        <v>0</v>
      </c>
      <c r="J45" t="n">
        <v>5</v>
      </c>
      <c r="K45" t="n">
        <v>0</v>
      </c>
      <c r="L45" t="n">
        <v>0</v>
      </c>
      <c r="M45" t="n">
        <v>0</v>
      </c>
      <c r="N45" t="n">
        <v>0</v>
      </c>
      <c r="O45" t="n">
        <v>5</v>
      </c>
      <c r="P45" t="n">
        <v>0</v>
      </c>
      <c r="Q45" t="n">
        <v>6</v>
      </c>
      <c r="R45" s="2" t="inlineStr">
        <is>
          <t>Dofttaggsvamp
Motaggsvamp
Spillkråka
Svartvit taggsvamp
Talltita
Kungsfågel</t>
        </is>
      </c>
      <c r="S45">
        <f>HYPERLINK("https://klasma.github.io/Logging_1861/artfynd/A 60559-2020 artfynd.xlsx", "A 60559-2020")</f>
        <v/>
      </c>
      <c r="T45">
        <f>HYPERLINK("https://klasma.github.io/Logging_1861/kartor/A 60559-2020 karta.png", "A 60559-2020")</f>
        <v/>
      </c>
      <c r="V45">
        <f>HYPERLINK("https://klasma.github.io/Logging_1861/klagomål/A 60559-2020 FSC-klagomål.docx", "A 60559-2020")</f>
        <v/>
      </c>
      <c r="W45">
        <f>HYPERLINK("https://klasma.github.io/Logging_1861/klagomålsmail/A 60559-2020 FSC-klagomål mail.docx", "A 60559-2020")</f>
        <v/>
      </c>
      <c r="X45">
        <f>HYPERLINK("https://klasma.github.io/Logging_1861/tillsyn/A 60559-2020 tillsynsbegäran.docx", "A 60559-2020")</f>
        <v/>
      </c>
      <c r="Y45">
        <f>HYPERLINK("https://klasma.github.io/Logging_1861/tillsynsmail/A 60559-2020 tillsynsbegäran mail.docx", "A 60559-2020")</f>
        <v/>
      </c>
      <c r="Z45">
        <f>HYPERLINK("https://klasma.github.io/Logging_1861/fåglar/A 60559-2020 prioriterade fågelarter.docx", "A 60559-2020")</f>
        <v/>
      </c>
    </row>
    <row r="46" ht="15" customHeight="1">
      <c r="A46" t="inlineStr">
        <is>
          <t>A 44952-2021</t>
        </is>
      </c>
      <c r="B46" s="1" t="n">
        <v>44438</v>
      </c>
      <c r="C46" s="1" t="n">
        <v>45952</v>
      </c>
      <c r="D46" t="inlineStr">
        <is>
          <t>ÖREBRO LÄN</t>
        </is>
      </c>
      <c r="E46" t="inlineStr">
        <is>
          <t>NORA</t>
        </is>
      </c>
      <c r="G46" t="n">
        <v>1.6</v>
      </c>
      <c r="H46" t="n">
        <v>1</v>
      </c>
      <c r="I46" t="n">
        <v>3</v>
      </c>
      <c r="J46" t="n">
        <v>2</v>
      </c>
      <c r="K46" t="n">
        <v>0</v>
      </c>
      <c r="L46" t="n">
        <v>0</v>
      </c>
      <c r="M46" t="n">
        <v>0</v>
      </c>
      <c r="N46" t="n">
        <v>0</v>
      </c>
      <c r="O46" t="n">
        <v>2</v>
      </c>
      <c r="P46" t="n">
        <v>0</v>
      </c>
      <c r="Q46" t="n">
        <v>6</v>
      </c>
      <c r="R46" s="2" t="inlineStr">
        <is>
          <t>Motaggsvamp
Orange taggsvamp
Dropptaggsvamp
Rostfläck
Vedticka
Fläcknycklar</t>
        </is>
      </c>
      <c r="S46">
        <f>HYPERLINK("https://klasma.github.io/Logging_1884/artfynd/A 44952-2021 artfynd.xlsx", "A 44952-2021")</f>
        <v/>
      </c>
      <c r="T46">
        <f>HYPERLINK("https://klasma.github.io/Logging_1884/kartor/A 44952-2021 karta.png", "A 44952-2021")</f>
        <v/>
      </c>
      <c r="V46">
        <f>HYPERLINK("https://klasma.github.io/Logging_1884/klagomål/A 44952-2021 FSC-klagomål.docx", "A 44952-2021")</f>
        <v/>
      </c>
      <c r="W46">
        <f>HYPERLINK("https://klasma.github.io/Logging_1884/klagomålsmail/A 44952-2021 FSC-klagomål mail.docx", "A 44952-2021")</f>
        <v/>
      </c>
      <c r="X46">
        <f>HYPERLINK("https://klasma.github.io/Logging_1884/tillsyn/A 44952-2021 tillsynsbegäran.docx", "A 44952-2021")</f>
        <v/>
      </c>
      <c r="Y46">
        <f>HYPERLINK("https://klasma.github.io/Logging_1884/tillsynsmail/A 44952-2021 tillsynsbegäran mail.docx", "A 44952-2021")</f>
        <v/>
      </c>
    </row>
    <row r="47" ht="15" customHeight="1">
      <c r="A47" t="inlineStr">
        <is>
          <t>A 46392-2023</t>
        </is>
      </c>
      <c r="B47" s="1" t="n">
        <v>45197</v>
      </c>
      <c r="C47" s="1" t="n">
        <v>45952</v>
      </c>
      <c r="D47" t="inlineStr">
        <is>
          <t>ÖREBRO LÄN</t>
        </is>
      </c>
      <c r="E47" t="inlineStr">
        <is>
          <t>HALLSBERG</t>
        </is>
      </c>
      <c r="G47" t="n">
        <v>18.2</v>
      </c>
      <c r="H47" t="n">
        <v>5</v>
      </c>
      <c r="I47" t="n">
        <v>1</v>
      </c>
      <c r="J47" t="n">
        <v>3</v>
      </c>
      <c r="K47" t="n">
        <v>0</v>
      </c>
      <c r="L47" t="n">
        <v>0</v>
      </c>
      <c r="M47" t="n">
        <v>0</v>
      </c>
      <c r="N47" t="n">
        <v>0</v>
      </c>
      <c r="O47" t="n">
        <v>3</v>
      </c>
      <c r="P47" t="n">
        <v>0</v>
      </c>
      <c r="Q47" t="n">
        <v>6</v>
      </c>
      <c r="R47" s="2" t="inlineStr">
        <is>
          <t>Entita
Gulsparv
Spillkråka
Tibast
Vanlig groda
Blåsippa</t>
        </is>
      </c>
      <c r="S47">
        <f>HYPERLINK("https://klasma.github.io/Logging_1861/artfynd/A 46392-2023 artfynd.xlsx", "A 46392-2023")</f>
        <v/>
      </c>
      <c r="T47">
        <f>HYPERLINK("https://klasma.github.io/Logging_1861/kartor/A 46392-2023 karta.png", "A 46392-2023")</f>
        <v/>
      </c>
      <c r="V47">
        <f>HYPERLINK("https://klasma.github.io/Logging_1861/klagomål/A 46392-2023 FSC-klagomål.docx", "A 46392-2023")</f>
        <v/>
      </c>
      <c r="W47">
        <f>HYPERLINK("https://klasma.github.io/Logging_1861/klagomålsmail/A 46392-2023 FSC-klagomål mail.docx", "A 46392-2023")</f>
        <v/>
      </c>
      <c r="X47">
        <f>HYPERLINK("https://klasma.github.io/Logging_1861/tillsyn/A 46392-2023 tillsynsbegäran.docx", "A 46392-2023")</f>
        <v/>
      </c>
      <c r="Y47">
        <f>HYPERLINK("https://klasma.github.io/Logging_1861/tillsynsmail/A 46392-2023 tillsynsbegäran mail.docx", "A 46392-2023")</f>
        <v/>
      </c>
      <c r="Z47">
        <f>HYPERLINK("https://klasma.github.io/Logging_1861/fåglar/A 46392-2023 prioriterade fågelarter.docx", "A 46392-2023")</f>
        <v/>
      </c>
    </row>
    <row r="48" ht="15" customHeight="1">
      <c r="A48" t="inlineStr">
        <is>
          <t>A 59606-2023</t>
        </is>
      </c>
      <c r="B48" s="1" t="n">
        <v>45254.63260416667</v>
      </c>
      <c r="C48" s="1" t="n">
        <v>45952</v>
      </c>
      <c r="D48" t="inlineStr">
        <is>
          <t>ÖREBRO LÄN</t>
        </is>
      </c>
      <c r="E48" t="inlineStr">
        <is>
          <t>LAXÅ</t>
        </is>
      </c>
      <c r="G48" t="n">
        <v>2.8</v>
      </c>
      <c r="H48" t="n">
        <v>6</v>
      </c>
      <c r="I48" t="n">
        <v>0</v>
      </c>
      <c r="J48" t="n">
        <v>4</v>
      </c>
      <c r="K48" t="n">
        <v>0</v>
      </c>
      <c r="L48" t="n">
        <v>0</v>
      </c>
      <c r="M48" t="n">
        <v>0</v>
      </c>
      <c r="N48" t="n">
        <v>0</v>
      </c>
      <c r="O48" t="n">
        <v>4</v>
      </c>
      <c r="P48" t="n">
        <v>0</v>
      </c>
      <c r="Q48" t="n">
        <v>6</v>
      </c>
      <c r="R48" s="2" t="inlineStr">
        <is>
          <t>Buskskvätta
Spillkråka
Talltita
Ärtsångare
Grönsiska
Kungsfågel</t>
        </is>
      </c>
      <c r="S48">
        <f>HYPERLINK("https://klasma.github.io/Logging_1860/artfynd/A 59606-2023 artfynd.xlsx", "A 59606-2023")</f>
        <v/>
      </c>
      <c r="T48">
        <f>HYPERLINK("https://klasma.github.io/Logging_1860/kartor/A 59606-2023 karta.png", "A 59606-2023")</f>
        <v/>
      </c>
      <c r="V48">
        <f>HYPERLINK("https://klasma.github.io/Logging_1860/klagomål/A 59606-2023 FSC-klagomål.docx", "A 59606-2023")</f>
        <v/>
      </c>
      <c r="W48">
        <f>HYPERLINK("https://klasma.github.io/Logging_1860/klagomålsmail/A 59606-2023 FSC-klagomål mail.docx", "A 59606-2023")</f>
        <v/>
      </c>
      <c r="X48">
        <f>HYPERLINK("https://klasma.github.io/Logging_1860/tillsyn/A 59606-2023 tillsynsbegäran.docx", "A 59606-2023")</f>
        <v/>
      </c>
      <c r="Y48">
        <f>HYPERLINK("https://klasma.github.io/Logging_1860/tillsynsmail/A 59606-2023 tillsynsbegäran mail.docx", "A 59606-2023")</f>
        <v/>
      </c>
      <c r="Z48">
        <f>HYPERLINK("https://klasma.github.io/Logging_1860/fåglar/A 59606-2023 prioriterade fågelarter.docx", "A 59606-2023")</f>
        <v/>
      </c>
    </row>
    <row r="49" ht="15" customHeight="1">
      <c r="A49" t="inlineStr">
        <is>
          <t>A 43429-2024</t>
        </is>
      </c>
      <c r="B49" s="1" t="n">
        <v>45568.63905092593</v>
      </c>
      <c r="C49" s="1" t="n">
        <v>45952</v>
      </c>
      <c r="D49" t="inlineStr">
        <is>
          <t>ÖREBRO LÄN</t>
        </is>
      </c>
      <c r="E49" t="inlineStr">
        <is>
          <t>LINDESBERG</t>
        </is>
      </c>
      <c r="F49" t="inlineStr">
        <is>
          <t>Sveaskog</t>
        </is>
      </c>
      <c r="G49" t="n">
        <v>9.699999999999999</v>
      </c>
      <c r="H49" t="n">
        <v>3</v>
      </c>
      <c r="I49" t="n">
        <v>2</v>
      </c>
      <c r="J49" t="n">
        <v>1</v>
      </c>
      <c r="K49" t="n">
        <v>1</v>
      </c>
      <c r="L49" t="n">
        <v>0</v>
      </c>
      <c r="M49" t="n">
        <v>0</v>
      </c>
      <c r="N49" t="n">
        <v>0</v>
      </c>
      <c r="O49" t="n">
        <v>2</v>
      </c>
      <c r="P49" t="n">
        <v>1</v>
      </c>
      <c r="Q49" t="n">
        <v>6</v>
      </c>
      <c r="R49" s="2" t="inlineStr">
        <is>
          <t>Lappuggla
Tallriska
Dropptaggsvamp
Tallfingersvamp
Fiskgjuse
Kungsfågel</t>
        </is>
      </c>
      <c r="S49">
        <f>HYPERLINK("https://klasma.github.io/Logging_1885/artfynd/A 43429-2024 artfynd.xlsx", "A 43429-2024")</f>
        <v/>
      </c>
      <c r="T49">
        <f>HYPERLINK("https://klasma.github.io/Logging_1885/kartor/A 43429-2024 karta.png", "A 43429-2024")</f>
        <v/>
      </c>
      <c r="V49">
        <f>HYPERLINK("https://klasma.github.io/Logging_1885/klagomål/A 43429-2024 FSC-klagomål.docx", "A 43429-2024")</f>
        <v/>
      </c>
      <c r="W49">
        <f>HYPERLINK("https://klasma.github.io/Logging_1885/klagomålsmail/A 43429-2024 FSC-klagomål mail.docx", "A 43429-2024")</f>
        <v/>
      </c>
      <c r="X49">
        <f>HYPERLINK("https://klasma.github.io/Logging_1885/tillsyn/A 43429-2024 tillsynsbegäran.docx", "A 43429-2024")</f>
        <v/>
      </c>
      <c r="Y49">
        <f>HYPERLINK("https://klasma.github.io/Logging_1885/tillsynsmail/A 43429-2024 tillsynsbegäran mail.docx", "A 43429-2024")</f>
        <v/>
      </c>
      <c r="Z49">
        <f>HYPERLINK("https://klasma.github.io/Logging_1885/fåglar/A 43429-2024 prioriterade fågelarter.docx", "A 43429-2024")</f>
        <v/>
      </c>
    </row>
    <row r="50" ht="15" customHeight="1">
      <c r="A50" t="inlineStr">
        <is>
          <t>A 13166-2021</t>
        </is>
      </c>
      <c r="B50" s="1" t="n">
        <v>44272</v>
      </c>
      <c r="C50" s="1" t="n">
        <v>45952</v>
      </c>
      <c r="D50" t="inlineStr">
        <is>
          <t>ÖREBRO LÄN</t>
        </is>
      </c>
      <c r="E50" t="inlineStr">
        <is>
          <t>ÖREBRO</t>
        </is>
      </c>
      <c r="G50" t="n">
        <v>3</v>
      </c>
      <c r="H50" t="n">
        <v>1</v>
      </c>
      <c r="I50" t="n">
        <v>5</v>
      </c>
      <c r="J50" t="n">
        <v>0</v>
      </c>
      <c r="K50" t="n">
        <v>0</v>
      </c>
      <c r="L50" t="n">
        <v>0</v>
      </c>
      <c r="M50" t="n">
        <v>0</v>
      </c>
      <c r="N50" t="n">
        <v>0</v>
      </c>
      <c r="O50" t="n">
        <v>0</v>
      </c>
      <c r="P50" t="n">
        <v>0</v>
      </c>
      <c r="Q50" t="n">
        <v>6</v>
      </c>
      <c r="R50" s="2" t="inlineStr">
        <is>
          <t>Bronshjon
Dropptaggsvamp
Kattfotslav
Klippfrullania
Stor revmossa
Revlummer</t>
        </is>
      </c>
      <c r="S50">
        <f>HYPERLINK("https://klasma.github.io/Logging_1880/artfynd/A 13166-2021 artfynd.xlsx", "A 13166-2021")</f>
        <v/>
      </c>
      <c r="T50">
        <f>HYPERLINK("https://klasma.github.io/Logging_1880/kartor/A 13166-2021 karta.png", "A 13166-2021")</f>
        <v/>
      </c>
      <c r="V50">
        <f>HYPERLINK("https://klasma.github.io/Logging_1880/klagomål/A 13166-2021 FSC-klagomål.docx", "A 13166-2021")</f>
        <v/>
      </c>
      <c r="W50">
        <f>HYPERLINK("https://klasma.github.io/Logging_1880/klagomålsmail/A 13166-2021 FSC-klagomål mail.docx", "A 13166-2021")</f>
        <v/>
      </c>
      <c r="X50">
        <f>HYPERLINK("https://klasma.github.io/Logging_1880/tillsyn/A 13166-2021 tillsynsbegäran.docx", "A 13166-2021")</f>
        <v/>
      </c>
      <c r="Y50">
        <f>HYPERLINK("https://klasma.github.io/Logging_1880/tillsynsmail/A 13166-2021 tillsynsbegäran mail.docx", "A 13166-2021")</f>
        <v/>
      </c>
    </row>
    <row r="51" ht="15" customHeight="1">
      <c r="A51" t="inlineStr">
        <is>
          <t>A 55197-2023</t>
        </is>
      </c>
      <c r="B51" s="1" t="n">
        <v>45237</v>
      </c>
      <c r="C51" s="1" t="n">
        <v>45952</v>
      </c>
      <c r="D51" t="inlineStr">
        <is>
          <t>ÖREBRO LÄN</t>
        </is>
      </c>
      <c r="E51" t="inlineStr">
        <is>
          <t>ÖREBRO</t>
        </is>
      </c>
      <c r="G51" t="n">
        <v>1.3</v>
      </c>
      <c r="H51" t="n">
        <v>3</v>
      </c>
      <c r="I51" t="n">
        <v>1</v>
      </c>
      <c r="J51" t="n">
        <v>5</v>
      </c>
      <c r="K51" t="n">
        <v>0</v>
      </c>
      <c r="L51" t="n">
        <v>0</v>
      </c>
      <c r="M51" t="n">
        <v>0</v>
      </c>
      <c r="N51" t="n">
        <v>0</v>
      </c>
      <c r="O51" t="n">
        <v>5</v>
      </c>
      <c r="P51" t="n">
        <v>0</v>
      </c>
      <c r="Q51" t="n">
        <v>6</v>
      </c>
      <c r="R51" s="2" t="inlineStr">
        <is>
          <t>Buskskvätta
Dånvivel
Entita
Fläckstumpbagge
Gulsparv
Spindelbock</t>
        </is>
      </c>
      <c r="S51">
        <f>HYPERLINK("https://klasma.github.io/Logging_1880/artfynd/A 55197-2023 artfynd.xlsx", "A 55197-2023")</f>
        <v/>
      </c>
      <c r="T51">
        <f>HYPERLINK("https://klasma.github.io/Logging_1880/kartor/A 55197-2023 karta.png", "A 55197-2023")</f>
        <v/>
      </c>
      <c r="V51">
        <f>HYPERLINK("https://klasma.github.io/Logging_1880/klagomål/A 55197-2023 FSC-klagomål.docx", "A 55197-2023")</f>
        <v/>
      </c>
      <c r="W51">
        <f>HYPERLINK("https://klasma.github.io/Logging_1880/klagomålsmail/A 55197-2023 FSC-klagomål mail.docx", "A 55197-2023")</f>
        <v/>
      </c>
      <c r="X51">
        <f>HYPERLINK("https://klasma.github.io/Logging_1880/tillsyn/A 55197-2023 tillsynsbegäran.docx", "A 55197-2023")</f>
        <v/>
      </c>
      <c r="Y51">
        <f>HYPERLINK("https://klasma.github.io/Logging_1880/tillsynsmail/A 55197-2023 tillsynsbegäran mail.docx", "A 55197-2023")</f>
        <v/>
      </c>
      <c r="Z51">
        <f>HYPERLINK("https://klasma.github.io/Logging_1880/fåglar/A 55197-2023 prioriterade fågelarter.docx", "A 55197-2023")</f>
        <v/>
      </c>
    </row>
    <row r="52" ht="15" customHeight="1">
      <c r="A52" t="inlineStr">
        <is>
          <t>A 15075-2022</t>
        </is>
      </c>
      <c r="B52" s="1" t="n">
        <v>44657</v>
      </c>
      <c r="C52" s="1" t="n">
        <v>45952</v>
      </c>
      <c r="D52" t="inlineStr">
        <is>
          <t>ÖREBRO LÄN</t>
        </is>
      </c>
      <c r="E52" t="inlineStr">
        <is>
          <t>HALLSBERG</t>
        </is>
      </c>
      <c r="G52" t="n">
        <v>3.5</v>
      </c>
      <c r="H52" t="n">
        <v>2</v>
      </c>
      <c r="I52" t="n">
        <v>3</v>
      </c>
      <c r="J52" t="n">
        <v>2</v>
      </c>
      <c r="K52" t="n">
        <v>0</v>
      </c>
      <c r="L52" t="n">
        <v>0</v>
      </c>
      <c r="M52" t="n">
        <v>0</v>
      </c>
      <c r="N52" t="n">
        <v>0</v>
      </c>
      <c r="O52" t="n">
        <v>2</v>
      </c>
      <c r="P52" t="n">
        <v>0</v>
      </c>
      <c r="Q52" t="n">
        <v>6</v>
      </c>
      <c r="R52" s="2" t="inlineStr">
        <is>
          <t>Tallticka
Talltita
Björksplintborre
Mindre märgborre
Strutbräken
Blåsippa</t>
        </is>
      </c>
      <c r="S52">
        <f>HYPERLINK("https://klasma.github.io/Logging_1861/artfynd/A 15075-2022 artfynd.xlsx", "A 15075-2022")</f>
        <v/>
      </c>
      <c r="T52">
        <f>HYPERLINK("https://klasma.github.io/Logging_1861/kartor/A 15075-2022 karta.png", "A 15075-2022")</f>
        <v/>
      </c>
      <c r="V52">
        <f>HYPERLINK("https://klasma.github.io/Logging_1861/klagomål/A 15075-2022 FSC-klagomål.docx", "A 15075-2022")</f>
        <v/>
      </c>
      <c r="W52">
        <f>HYPERLINK("https://klasma.github.io/Logging_1861/klagomålsmail/A 15075-2022 FSC-klagomål mail.docx", "A 15075-2022")</f>
        <v/>
      </c>
      <c r="X52">
        <f>HYPERLINK("https://klasma.github.io/Logging_1861/tillsyn/A 15075-2022 tillsynsbegäran.docx", "A 15075-2022")</f>
        <v/>
      </c>
      <c r="Y52">
        <f>HYPERLINK("https://klasma.github.io/Logging_1861/tillsynsmail/A 15075-2022 tillsynsbegäran mail.docx", "A 15075-2022")</f>
        <v/>
      </c>
      <c r="Z52">
        <f>HYPERLINK("https://klasma.github.io/Logging_1861/fåglar/A 15075-2022 prioriterade fågelarter.docx", "A 15075-2022")</f>
        <v/>
      </c>
    </row>
    <row r="53" ht="15" customHeight="1">
      <c r="A53" t="inlineStr">
        <is>
          <t>A 28033-2023</t>
        </is>
      </c>
      <c r="B53" s="1" t="n">
        <v>45099</v>
      </c>
      <c r="C53" s="1" t="n">
        <v>45952</v>
      </c>
      <c r="D53" t="inlineStr">
        <is>
          <t>ÖREBRO LÄN</t>
        </is>
      </c>
      <c r="E53" t="inlineStr">
        <is>
          <t>LINDESBERG</t>
        </is>
      </c>
      <c r="F53" t="inlineStr">
        <is>
          <t>Kyrkan</t>
        </is>
      </c>
      <c r="G53" t="n">
        <v>1.6</v>
      </c>
      <c r="H53" t="n">
        <v>2</v>
      </c>
      <c r="I53" t="n">
        <v>2</v>
      </c>
      <c r="J53" t="n">
        <v>0</v>
      </c>
      <c r="K53" t="n">
        <v>0</v>
      </c>
      <c r="L53" t="n">
        <v>2</v>
      </c>
      <c r="M53" t="n">
        <v>1</v>
      </c>
      <c r="N53" t="n">
        <v>0</v>
      </c>
      <c r="O53" t="n">
        <v>3</v>
      </c>
      <c r="P53" t="n">
        <v>3</v>
      </c>
      <c r="Q53" t="n">
        <v>6</v>
      </c>
      <c r="R53" s="2" t="inlineStr">
        <is>
          <t>Skogsalm
Ask
Asknätfjäril
Svart trolldruva
Tibast
Blåsippa</t>
        </is>
      </c>
      <c r="S53">
        <f>HYPERLINK("https://klasma.github.io/Logging_1885/artfynd/A 28033-2023 artfynd.xlsx", "A 28033-2023")</f>
        <v/>
      </c>
      <c r="T53">
        <f>HYPERLINK("https://klasma.github.io/Logging_1885/kartor/A 28033-2023 karta.png", "A 28033-2023")</f>
        <v/>
      </c>
      <c r="V53">
        <f>HYPERLINK("https://klasma.github.io/Logging_1885/klagomål/A 28033-2023 FSC-klagomål.docx", "A 28033-2023")</f>
        <v/>
      </c>
      <c r="W53">
        <f>HYPERLINK("https://klasma.github.io/Logging_1885/klagomålsmail/A 28033-2023 FSC-klagomål mail.docx", "A 28033-2023")</f>
        <v/>
      </c>
      <c r="X53">
        <f>HYPERLINK("https://klasma.github.io/Logging_1885/tillsyn/A 28033-2023 tillsynsbegäran.docx", "A 28033-2023")</f>
        <v/>
      </c>
      <c r="Y53">
        <f>HYPERLINK("https://klasma.github.io/Logging_1885/tillsynsmail/A 28033-2023 tillsynsbegäran mail.docx", "A 28033-2023")</f>
        <v/>
      </c>
    </row>
    <row r="54" ht="15" customHeight="1">
      <c r="A54" t="inlineStr">
        <is>
          <t>A 55852-2024</t>
        </is>
      </c>
      <c r="B54" s="1" t="n">
        <v>45623</v>
      </c>
      <c r="C54" s="1" t="n">
        <v>45952</v>
      </c>
      <c r="D54" t="inlineStr">
        <is>
          <t>ÖREBRO LÄN</t>
        </is>
      </c>
      <c r="E54" t="inlineStr">
        <is>
          <t>NORA</t>
        </is>
      </c>
      <c r="F54" t="inlineStr">
        <is>
          <t>Kommuner</t>
        </is>
      </c>
      <c r="G54" t="n">
        <v>7.7</v>
      </c>
      <c r="H54" t="n">
        <v>5</v>
      </c>
      <c r="I54" t="n">
        <v>1</v>
      </c>
      <c r="J54" t="n">
        <v>2</v>
      </c>
      <c r="K54" t="n">
        <v>2</v>
      </c>
      <c r="L54" t="n">
        <v>1</v>
      </c>
      <c r="M54" t="n">
        <v>0</v>
      </c>
      <c r="N54" t="n">
        <v>0</v>
      </c>
      <c r="O54" t="n">
        <v>5</v>
      </c>
      <c r="P54" t="n">
        <v>3</v>
      </c>
      <c r="Q54" t="n">
        <v>6</v>
      </c>
      <c r="R54" s="2" t="inlineStr">
        <is>
          <t>Storspov
Stare
Tofsvipa
Fiskmås
Skrattmås
Tibast</t>
        </is>
      </c>
      <c r="S54">
        <f>HYPERLINK("https://klasma.github.io/Logging_1884/artfynd/A 55852-2024 artfynd.xlsx", "A 55852-2024")</f>
        <v/>
      </c>
      <c r="T54">
        <f>HYPERLINK("https://klasma.github.io/Logging_1884/kartor/A 55852-2024 karta.png", "A 55852-2024")</f>
        <v/>
      </c>
      <c r="V54">
        <f>HYPERLINK("https://klasma.github.io/Logging_1884/klagomål/A 55852-2024 FSC-klagomål.docx", "A 55852-2024")</f>
        <v/>
      </c>
      <c r="W54">
        <f>HYPERLINK("https://klasma.github.io/Logging_1884/klagomålsmail/A 55852-2024 FSC-klagomål mail.docx", "A 55852-2024")</f>
        <v/>
      </c>
      <c r="X54">
        <f>HYPERLINK("https://klasma.github.io/Logging_1884/tillsyn/A 55852-2024 tillsynsbegäran.docx", "A 55852-2024")</f>
        <v/>
      </c>
      <c r="Y54">
        <f>HYPERLINK("https://klasma.github.io/Logging_1884/tillsynsmail/A 55852-2024 tillsynsbegäran mail.docx", "A 55852-2024")</f>
        <v/>
      </c>
    </row>
    <row r="55" ht="15" customHeight="1">
      <c r="A55" t="inlineStr">
        <is>
          <t>A 17809-2025</t>
        </is>
      </c>
      <c r="B55" s="1" t="n">
        <v>45758.55810185185</v>
      </c>
      <c r="C55" s="1" t="n">
        <v>45952</v>
      </c>
      <c r="D55" t="inlineStr">
        <is>
          <t>ÖREBRO LÄN</t>
        </is>
      </c>
      <c r="E55" t="inlineStr">
        <is>
          <t>HÄLLEFORS</t>
        </is>
      </c>
      <c r="F55" t="inlineStr">
        <is>
          <t>Sveaskog</t>
        </is>
      </c>
      <c r="G55" t="n">
        <v>7.3</v>
      </c>
      <c r="H55" t="n">
        <v>2</v>
      </c>
      <c r="I55" t="n">
        <v>3</v>
      </c>
      <c r="J55" t="n">
        <v>2</v>
      </c>
      <c r="K55" t="n">
        <v>0</v>
      </c>
      <c r="L55" t="n">
        <v>0</v>
      </c>
      <c r="M55" t="n">
        <v>0</v>
      </c>
      <c r="N55" t="n">
        <v>0</v>
      </c>
      <c r="O55" t="n">
        <v>2</v>
      </c>
      <c r="P55" t="n">
        <v>0</v>
      </c>
      <c r="Q55" t="n">
        <v>6</v>
      </c>
      <c r="R55" s="2" t="inlineStr">
        <is>
          <t>Lunglav
Spillkråka
Korallblylav
Stuplav
Västlig hakmossa
Tjäder</t>
        </is>
      </c>
      <c r="S55">
        <f>HYPERLINK("https://klasma.github.io/Logging_1863/artfynd/A 17809-2025 artfynd.xlsx", "A 17809-2025")</f>
        <v/>
      </c>
      <c r="T55">
        <f>HYPERLINK("https://klasma.github.io/Logging_1863/kartor/A 17809-2025 karta.png", "A 17809-2025")</f>
        <v/>
      </c>
      <c r="V55">
        <f>HYPERLINK("https://klasma.github.io/Logging_1863/klagomål/A 17809-2025 FSC-klagomål.docx", "A 17809-2025")</f>
        <v/>
      </c>
      <c r="W55">
        <f>HYPERLINK("https://klasma.github.io/Logging_1863/klagomålsmail/A 17809-2025 FSC-klagomål mail.docx", "A 17809-2025")</f>
        <v/>
      </c>
      <c r="X55">
        <f>HYPERLINK("https://klasma.github.io/Logging_1863/tillsyn/A 17809-2025 tillsynsbegäran.docx", "A 17809-2025")</f>
        <v/>
      </c>
      <c r="Y55">
        <f>HYPERLINK("https://klasma.github.io/Logging_1863/tillsynsmail/A 17809-2025 tillsynsbegäran mail.docx", "A 17809-2025")</f>
        <v/>
      </c>
      <c r="Z55">
        <f>HYPERLINK("https://klasma.github.io/Logging_1863/fåglar/A 17809-2025 prioriterade fågelarter.docx", "A 17809-2025")</f>
        <v/>
      </c>
    </row>
    <row r="56" ht="15" customHeight="1">
      <c r="A56" t="inlineStr">
        <is>
          <t>A 42633-2025</t>
        </is>
      </c>
      <c r="B56" s="1" t="n">
        <v>45905.89554398148</v>
      </c>
      <c r="C56" s="1" t="n">
        <v>45952</v>
      </c>
      <c r="D56" t="inlineStr">
        <is>
          <t>ÖREBRO LÄN</t>
        </is>
      </c>
      <c r="E56" t="inlineStr">
        <is>
          <t>LINDESBERG</t>
        </is>
      </c>
      <c r="F56" t="inlineStr">
        <is>
          <t>Sveaskog</t>
        </is>
      </c>
      <c r="G56" t="n">
        <v>1.4</v>
      </c>
      <c r="H56" t="n">
        <v>1</v>
      </c>
      <c r="I56" t="n">
        <v>1</v>
      </c>
      <c r="J56" t="n">
        <v>4</v>
      </c>
      <c r="K56" t="n">
        <v>0</v>
      </c>
      <c r="L56" t="n">
        <v>1</v>
      </c>
      <c r="M56" t="n">
        <v>0</v>
      </c>
      <c r="N56" t="n">
        <v>0</v>
      </c>
      <c r="O56" t="n">
        <v>5</v>
      </c>
      <c r="P56" t="n">
        <v>1</v>
      </c>
      <c r="Q56" t="n">
        <v>6</v>
      </c>
      <c r="R56" s="2" t="inlineStr">
        <is>
          <t>Brun glada
Kandelabersvamp
Motaggsvamp
Svartvit taggsvamp
Veckticka
Blomkålssvamp</t>
        </is>
      </c>
      <c r="S56">
        <f>HYPERLINK("https://klasma.github.io/Logging_1885/artfynd/A 42633-2025 artfynd.xlsx", "A 42633-2025")</f>
        <v/>
      </c>
      <c r="T56">
        <f>HYPERLINK("https://klasma.github.io/Logging_1885/kartor/A 42633-2025 karta.png", "A 42633-2025")</f>
        <v/>
      </c>
      <c r="V56">
        <f>HYPERLINK("https://klasma.github.io/Logging_1885/klagomål/A 42633-2025 FSC-klagomål.docx", "A 42633-2025")</f>
        <v/>
      </c>
      <c r="W56">
        <f>HYPERLINK("https://klasma.github.io/Logging_1885/klagomålsmail/A 42633-2025 FSC-klagomål mail.docx", "A 42633-2025")</f>
        <v/>
      </c>
      <c r="X56">
        <f>HYPERLINK("https://klasma.github.io/Logging_1885/tillsyn/A 42633-2025 tillsynsbegäran.docx", "A 42633-2025")</f>
        <v/>
      </c>
      <c r="Y56">
        <f>HYPERLINK("https://klasma.github.io/Logging_1885/tillsynsmail/A 42633-2025 tillsynsbegäran mail.docx", "A 42633-2025")</f>
        <v/>
      </c>
      <c r="Z56">
        <f>HYPERLINK("https://klasma.github.io/Logging_1885/fåglar/A 42633-2025 prioriterade fågelarter.docx", "A 42633-2025")</f>
        <v/>
      </c>
    </row>
    <row r="57" ht="15" customHeight="1">
      <c r="A57" t="inlineStr">
        <is>
          <t>A 57379-2020</t>
        </is>
      </c>
      <c r="B57" s="1" t="n">
        <v>44140</v>
      </c>
      <c r="C57" s="1" t="n">
        <v>45952</v>
      </c>
      <c r="D57" t="inlineStr">
        <is>
          <t>ÖREBRO LÄN</t>
        </is>
      </c>
      <c r="E57" t="inlineStr">
        <is>
          <t>KARLSKOGA</t>
        </is>
      </c>
      <c r="F57" t="inlineStr">
        <is>
          <t>Sveaskog</t>
        </is>
      </c>
      <c r="G57" t="n">
        <v>1.5</v>
      </c>
      <c r="H57" t="n">
        <v>0</v>
      </c>
      <c r="I57" t="n">
        <v>2</v>
      </c>
      <c r="J57" t="n">
        <v>3</v>
      </c>
      <c r="K57" t="n">
        <v>0</v>
      </c>
      <c r="L57" t="n">
        <v>0</v>
      </c>
      <c r="M57" t="n">
        <v>0</v>
      </c>
      <c r="N57" t="n">
        <v>0</v>
      </c>
      <c r="O57" t="n">
        <v>3</v>
      </c>
      <c r="P57" t="n">
        <v>0</v>
      </c>
      <c r="Q57" t="n">
        <v>5</v>
      </c>
      <c r="R57" s="2" t="inlineStr">
        <is>
          <t>Brunpudrad nållav
Gul taggsvamp
Kolflarnlav
Fjällig taggsvamp s.str.
Vedticka</t>
        </is>
      </c>
      <c r="S57">
        <f>HYPERLINK("https://klasma.github.io/Logging_1883/artfynd/A 57379-2020 artfynd.xlsx", "A 57379-2020")</f>
        <v/>
      </c>
      <c r="T57">
        <f>HYPERLINK("https://klasma.github.io/Logging_1883/kartor/A 57379-2020 karta.png", "A 57379-2020")</f>
        <v/>
      </c>
      <c r="V57">
        <f>HYPERLINK("https://klasma.github.io/Logging_1883/klagomål/A 57379-2020 FSC-klagomål.docx", "A 57379-2020")</f>
        <v/>
      </c>
      <c r="W57">
        <f>HYPERLINK("https://klasma.github.io/Logging_1883/klagomålsmail/A 57379-2020 FSC-klagomål mail.docx", "A 57379-2020")</f>
        <v/>
      </c>
      <c r="X57">
        <f>HYPERLINK("https://klasma.github.io/Logging_1883/tillsyn/A 57379-2020 tillsynsbegäran.docx", "A 57379-2020")</f>
        <v/>
      </c>
      <c r="Y57">
        <f>HYPERLINK("https://klasma.github.io/Logging_1883/tillsynsmail/A 57379-2020 tillsynsbegäran mail.docx", "A 57379-2020")</f>
        <v/>
      </c>
    </row>
    <row r="58" ht="15" customHeight="1">
      <c r="A58" t="inlineStr">
        <is>
          <t>A 9522-2025</t>
        </is>
      </c>
      <c r="B58" s="1" t="n">
        <v>45714</v>
      </c>
      <c r="C58" s="1" t="n">
        <v>45952</v>
      </c>
      <c r="D58" t="inlineStr">
        <is>
          <t>ÖREBRO LÄN</t>
        </is>
      </c>
      <c r="E58" t="inlineStr">
        <is>
          <t>ASKERSUND</t>
        </is>
      </c>
      <c r="F58" t="inlineStr">
        <is>
          <t>Övriga Aktiebolag</t>
        </is>
      </c>
      <c r="G58" t="n">
        <v>1.7</v>
      </c>
      <c r="H58" t="n">
        <v>1</v>
      </c>
      <c r="I58" t="n">
        <v>3</v>
      </c>
      <c r="J58" t="n">
        <v>0</v>
      </c>
      <c r="K58" t="n">
        <v>1</v>
      </c>
      <c r="L58" t="n">
        <v>0</v>
      </c>
      <c r="M58" t="n">
        <v>0</v>
      </c>
      <c r="N58" t="n">
        <v>0</v>
      </c>
      <c r="O58" t="n">
        <v>1</v>
      </c>
      <c r="P58" t="n">
        <v>1</v>
      </c>
      <c r="Q58" t="n">
        <v>5</v>
      </c>
      <c r="R58" s="2" t="inlineStr">
        <is>
          <t>Slåttergubbe
Svart trolldruva
Underviol
Vårärt
Blåsippa</t>
        </is>
      </c>
      <c r="S58">
        <f>HYPERLINK("https://klasma.github.io/Logging_1882/artfynd/A 9522-2025 artfynd.xlsx", "A 9522-2025")</f>
        <v/>
      </c>
      <c r="T58">
        <f>HYPERLINK("https://klasma.github.io/Logging_1882/kartor/A 9522-2025 karta.png", "A 9522-2025")</f>
        <v/>
      </c>
      <c r="V58">
        <f>HYPERLINK("https://klasma.github.io/Logging_1882/klagomål/A 9522-2025 FSC-klagomål.docx", "A 9522-2025")</f>
        <v/>
      </c>
      <c r="W58">
        <f>HYPERLINK("https://klasma.github.io/Logging_1882/klagomålsmail/A 9522-2025 FSC-klagomål mail.docx", "A 9522-2025")</f>
        <v/>
      </c>
      <c r="X58">
        <f>HYPERLINK("https://klasma.github.io/Logging_1882/tillsyn/A 9522-2025 tillsynsbegäran.docx", "A 9522-2025")</f>
        <v/>
      </c>
      <c r="Y58">
        <f>HYPERLINK("https://klasma.github.io/Logging_1882/tillsynsmail/A 9522-2025 tillsynsbegäran mail.docx", "A 9522-2025")</f>
        <v/>
      </c>
    </row>
    <row r="59" ht="15" customHeight="1">
      <c r="A59" t="inlineStr">
        <is>
          <t>A 15267-2025</t>
        </is>
      </c>
      <c r="B59" s="1" t="n">
        <v>45744.66456018519</v>
      </c>
      <c r="C59" s="1" t="n">
        <v>45952</v>
      </c>
      <c r="D59" t="inlineStr">
        <is>
          <t>ÖREBRO LÄN</t>
        </is>
      </c>
      <c r="E59" t="inlineStr">
        <is>
          <t>KARLSKOGA</t>
        </is>
      </c>
      <c r="F59" t="inlineStr">
        <is>
          <t>Sveaskog</t>
        </is>
      </c>
      <c r="G59" t="n">
        <v>1.6</v>
      </c>
      <c r="H59" t="n">
        <v>3</v>
      </c>
      <c r="I59" t="n">
        <v>2</v>
      </c>
      <c r="J59" t="n">
        <v>2</v>
      </c>
      <c r="K59" t="n">
        <v>0</v>
      </c>
      <c r="L59" t="n">
        <v>0</v>
      </c>
      <c r="M59" t="n">
        <v>0</v>
      </c>
      <c r="N59" t="n">
        <v>0</v>
      </c>
      <c r="O59" t="n">
        <v>2</v>
      </c>
      <c r="P59" t="n">
        <v>0</v>
      </c>
      <c r="Q59" t="n">
        <v>5</v>
      </c>
      <c r="R59" s="2" t="inlineStr">
        <is>
          <t>Garnlav
Tretåig hackspett
Plattlummer
Vedticka
Tjäder</t>
        </is>
      </c>
      <c r="S59">
        <f>HYPERLINK("https://klasma.github.io/Logging_1883/artfynd/A 15267-2025 artfynd.xlsx", "A 15267-2025")</f>
        <v/>
      </c>
      <c r="T59">
        <f>HYPERLINK("https://klasma.github.io/Logging_1883/kartor/A 15267-2025 karta.png", "A 15267-2025")</f>
        <v/>
      </c>
      <c r="V59">
        <f>HYPERLINK("https://klasma.github.io/Logging_1883/klagomål/A 15267-2025 FSC-klagomål.docx", "A 15267-2025")</f>
        <v/>
      </c>
      <c r="W59">
        <f>HYPERLINK("https://klasma.github.io/Logging_1883/klagomålsmail/A 15267-2025 FSC-klagomål mail.docx", "A 15267-2025")</f>
        <v/>
      </c>
      <c r="X59">
        <f>HYPERLINK("https://klasma.github.io/Logging_1883/tillsyn/A 15267-2025 tillsynsbegäran.docx", "A 15267-2025")</f>
        <v/>
      </c>
      <c r="Y59">
        <f>HYPERLINK("https://klasma.github.io/Logging_1883/tillsynsmail/A 15267-2025 tillsynsbegäran mail.docx", "A 15267-2025")</f>
        <v/>
      </c>
      <c r="Z59">
        <f>HYPERLINK("https://klasma.github.io/Logging_1883/fåglar/A 15267-2025 prioriterade fågelarter.docx", "A 15267-2025")</f>
        <v/>
      </c>
    </row>
    <row r="60" ht="15" customHeight="1">
      <c r="A60" t="inlineStr">
        <is>
          <t>A 63227-2023</t>
        </is>
      </c>
      <c r="B60" s="1" t="n">
        <v>45272</v>
      </c>
      <c r="C60" s="1" t="n">
        <v>45952</v>
      </c>
      <c r="D60" t="inlineStr">
        <is>
          <t>ÖREBRO LÄN</t>
        </is>
      </c>
      <c r="E60" t="inlineStr">
        <is>
          <t>HALLSBERG</t>
        </is>
      </c>
      <c r="G60" t="n">
        <v>4.4</v>
      </c>
      <c r="H60" t="n">
        <v>5</v>
      </c>
      <c r="I60" t="n">
        <v>0</v>
      </c>
      <c r="J60" t="n">
        <v>2</v>
      </c>
      <c r="K60" t="n">
        <v>0</v>
      </c>
      <c r="L60" t="n">
        <v>0</v>
      </c>
      <c r="M60" t="n">
        <v>0</v>
      </c>
      <c r="N60" t="n">
        <v>0</v>
      </c>
      <c r="O60" t="n">
        <v>2</v>
      </c>
      <c r="P60" t="n">
        <v>0</v>
      </c>
      <c r="Q60" t="n">
        <v>5</v>
      </c>
      <c r="R60" s="2" t="inlineStr">
        <is>
          <t>Brunlångöra
Nordfladdermus
Dvärgpipistrell
Större brunfladdermus
Revlummer</t>
        </is>
      </c>
      <c r="S60">
        <f>HYPERLINK("https://klasma.github.io/Logging_1861/artfynd/A 63227-2023 artfynd.xlsx", "A 63227-2023")</f>
        <v/>
      </c>
      <c r="T60">
        <f>HYPERLINK("https://klasma.github.io/Logging_1861/kartor/A 63227-2023 karta.png", "A 63227-2023")</f>
        <v/>
      </c>
      <c r="V60">
        <f>HYPERLINK("https://klasma.github.io/Logging_1861/klagomål/A 63227-2023 FSC-klagomål.docx", "A 63227-2023")</f>
        <v/>
      </c>
      <c r="W60">
        <f>HYPERLINK("https://klasma.github.io/Logging_1861/klagomålsmail/A 63227-2023 FSC-klagomål mail.docx", "A 63227-2023")</f>
        <v/>
      </c>
      <c r="X60">
        <f>HYPERLINK("https://klasma.github.io/Logging_1861/tillsyn/A 63227-2023 tillsynsbegäran.docx", "A 63227-2023")</f>
        <v/>
      </c>
      <c r="Y60">
        <f>HYPERLINK("https://klasma.github.io/Logging_1861/tillsynsmail/A 63227-2023 tillsynsbegäran mail.docx", "A 63227-2023")</f>
        <v/>
      </c>
    </row>
    <row r="61" ht="15" customHeight="1">
      <c r="A61" t="inlineStr">
        <is>
          <t>A 65217-2021</t>
        </is>
      </c>
      <c r="B61" s="1" t="n">
        <v>44515</v>
      </c>
      <c r="C61" s="1" t="n">
        <v>45952</v>
      </c>
      <c r="D61" t="inlineStr">
        <is>
          <t>ÖREBRO LÄN</t>
        </is>
      </c>
      <c r="E61" t="inlineStr">
        <is>
          <t>LJUSNARSBERG</t>
        </is>
      </c>
      <c r="F61" t="inlineStr">
        <is>
          <t>Bergvik skog väst AB</t>
        </is>
      </c>
      <c r="G61" t="n">
        <v>1.3</v>
      </c>
      <c r="H61" t="n">
        <v>1</v>
      </c>
      <c r="I61" t="n">
        <v>1</v>
      </c>
      <c r="J61" t="n">
        <v>4</v>
      </c>
      <c r="K61" t="n">
        <v>0</v>
      </c>
      <c r="L61" t="n">
        <v>0</v>
      </c>
      <c r="M61" t="n">
        <v>0</v>
      </c>
      <c r="N61" t="n">
        <v>0</v>
      </c>
      <c r="O61" t="n">
        <v>4</v>
      </c>
      <c r="P61" t="n">
        <v>0</v>
      </c>
      <c r="Q61" t="n">
        <v>5</v>
      </c>
      <c r="R61" s="2" t="inlineStr">
        <is>
          <t>Motaggsvamp
Tallriska
Tretåig hackspett
Vedtrappmossa
Bollvitmossa</t>
        </is>
      </c>
      <c r="S61">
        <f>HYPERLINK("https://klasma.github.io/Logging_1864/artfynd/A 65217-2021 artfynd.xlsx", "A 65217-2021")</f>
        <v/>
      </c>
      <c r="T61">
        <f>HYPERLINK("https://klasma.github.io/Logging_1864/kartor/A 65217-2021 karta.png", "A 65217-2021")</f>
        <v/>
      </c>
      <c r="V61">
        <f>HYPERLINK("https://klasma.github.io/Logging_1864/klagomål/A 65217-2021 FSC-klagomål.docx", "A 65217-2021")</f>
        <v/>
      </c>
      <c r="W61">
        <f>HYPERLINK("https://klasma.github.io/Logging_1864/klagomålsmail/A 65217-2021 FSC-klagomål mail.docx", "A 65217-2021")</f>
        <v/>
      </c>
      <c r="X61">
        <f>HYPERLINK("https://klasma.github.io/Logging_1864/tillsyn/A 65217-2021 tillsynsbegäran.docx", "A 65217-2021")</f>
        <v/>
      </c>
      <c r="Y61">
        <f>HYPERLINK("https://klasma.github.io/Logging_1864/tillsynsmail/A 65217-2021 tillsynsbegäran mail.docx", "A 65217-2021")</f>
        <v/>
      </c>
      <c r="Z61">
        <f>HYPERLINK("https://klasma.github.io/Logging_1864/fåglar/A 65217-2021 prioriterade fågelarter.docx", "A 65217-2021")</f>
        <v/>
      </c>
    </row>
    <row r="62" ht="15" customHeight="1">
      <c r="A62" t="inlineStr">
        <is>
          <t>A 12560-2025</t>
        </is>
      </c>
      <c r="B62" s="1" t="n">
        <v>45731.48357638889</v>
      </c>
      <c r="C62" s="1" t="n">
        <v>45952</v>
      </c>
      <c r="D62" t="inlineStr">
        <is>
          <t>ÖREBRO LÄN</t>
        </is>
      </c>
      <c r="E62" t="inlineStr">
        <is>
          <t>HALLSBERG</t>
        </is>
      </c>
      <c r="G62" t="n">
        <v>5.6</v>
      </c>
      <c r="H62" t="n">
        <v>3</v>
      </c>
      <c r="I62" t="n">
        <v>1</v>
      </c>
      <c r="J62" t="n">
        <v>2</v>
      </c>
      <c r="K62" t="n">
        <v>1</v>
      </c>
      <c r="L62" t="n">
        <v>0</v>
      </c>
      <c r="M62" t="n">
        <v>0</v>
      </c>
      <c r="N62" t="n">
        <v>0</v>
      </c>
      <c r="O62" t="n">
        <v>3</v>
      </c>
      <c r="P62" t="n">
        <v>1</v>
      </c>
      <c r="Q62" t="n">
        <v>5</v>
      </c>
      <c r="R62" s="2" t="inlineStr">
        <is>
          <t>Knärot
Talltita
Ullticka
Barkticka
Blåsippa</t>
        </is>
      </c>
      <c r="S62">
        <f>HYPERLINK("https://klasma.github.io/Logging_1861/artfynd/A 12560-2025 artfynd.xlsx", "A 12560-2025")</f>
        <v/>
      </c>
      <c r="T62">
        <f>HYPERLINK("https://klasma.github.io/Logging_1861/kartor/A 12560-2025 karta.png", "A 12560-2025")</f>
        <v/>
      </c>
      <c r="U62">
        <f>HYPERLINK("https://klasma.github.io/Logging_1861/knärot/A 12560-2025 karta knärot.png", "A 12560-2025")</f>
        <v/>
      </c>
      <c r="V62">
        <f>HYPERLINK("https://klasma.github.io/Logging_1861/klagomål/A 12560-2025 FSC-klagomål.docx", "A 12560-2025")</f>
        <v/>
      </c>
      <c r="W62">
        <f>HYPERLINK("https://klasma.github.io/Logging_1861/klagomålsmail/A 12560-2025 FSC-klagomål mail.docx", "A 12560-2025")</f>
        <v/>
      </c>
      <c r="X62">
        <f>HYPERLINK("https://klasma.github.io/Logging_1861/tillsyn/A 12560-2025 tillsynsbegäran.docx", "A 12560-2025")</f>
        <v/>
      </c>
      <c r="Y62">
        <f>HYPERLINK("https://klasma.github.io/Logging_1861/tillsynsmail/A 12560-2025 tillsynsbegäran mail.docx", "A 12560-2025")</f>
        <v/>
      </c>
      <c r="Z62">
        <f>HYPERLINK("https://klasma.github.io/Logging_1861/fåglar/A 12560-2025 prioriterade fågelarter.docx", "A 12560-2025")</f>
        <v/>
      </c>
    </row>
    <row r="63" ht="15" customHeight="1">
      <c r="A63" t="inlineStr">
        <is>
          <t>A 15758-2023</t>
        </is>
      </c>
      <c r="B63" s="1" t="n">
        <v>45021</v>
      </c>
      <c r="C63" s="1" t="n">
        <v>45952</v>
      </c>
      <c r="D63" t="inlineStr">
        <is>
          <t>ÖREBRO LÄN</t>
        </is>
      </c>
      <c r="E63" t="inlineStr">
        <is>
          <t>ÖREBRO</t>
        </is>
      </c>
      <c r="G63" t="n">
        <v>2.6</v>
      </c>
      <c r="H63" t="n">
        <v>2</v>
      </c>
      <c r="I63" t="n">
        <v>2</v>
      </c>
      <c r="J63" t="n">
        <v>2</v>
      </c>
      <c r="K63" t="n">
        <v>1</v>
      </c>
      <c r="L63" t="n">
        <v>0</v>
      </c>
      <c r="M63" t="n">
        <v>0</v>
      </c>
      <c r="N63" t="n">
        <v>0</v>
      </c>
      <c r="O63" t="n">
        <v>3</v>
      </c>
      <c r="P63" t="n">
        <v>1</v>
      </c>
      <c r="Q63" t="n">
        <v>5</v>
      </c>
      <c r="R63" s="2" t="inlineStr">
        <is>
          <t>Knärot
Spillkråka
Ullticka
Grönpyrola
Gullgröppa</t>
        </is>
      </c>
      <c r="S63">
        <f>HYPERLINK("https://klasma.github.io/Logging_1880/artfynd/A 15758-2023 artfynd.xlsx", "A 15758-2023")</f>
        <v/>
      </c>
      <c r="T63">
        <f>HYPERLINK("https://klasma.github.io/Logging_1880/kartor/A 15758-2023 karta.png", "A 15758-2023")</f>
        <v/>
      </c>
      <c r="U63">
        <f>HYPERLINK("https://klasma.github.io/Logging_1880/knärot/A 15758-2023 karta knärot.png", "A 15758-2023")</f>
        <v/>
      </c>
      <c r="V63">
        <f>HYPERLINK("https://klasma.github.io/Logging_1880/klagomål/A 15758-2023 FSC-klagomål.docx", "A 15758-2023")</f>
        <v/>
      </c>
      <c r="W63">
        <f>HYPERLINK("https://klasma.github.io/Logging_1880/klagomålsmail/A 15758-2023 FSC-klagomål mail.docx", "A 15758-2023")</f>
        <v/>
      </c>
      <c r="X63">
        <f>HYPERLINK("https://klasma.github.io/Logging_1880/tillsyn/A 15758-2023 tillsynsbegäran.docx", "A 15758-2023")</f>
        <v/>
      </c>
      <c r="Y63">
        <f>HYPERLINK("https://klasma.github.io/Logging_1880/tillsynsmail/A 15758-2023 tillsynsbegäran mail.docx", "A 15758-2023")</f>
        <v/>
      </c>
      <c r="Z63">
        <f>HYPERLINK("https://klasma.github.io/Logging_1880/fåglar/A 15758-2023 prioriterade fågelarter.docx", "A 15758-2023")</f>
        <v/>
      </c>
    </row>
    <row r="64" ht="15" customHeight="1">
      <c r="A64" t="inlineStr">
        <is>
          <t>A 43619-2024</t>
        </is>
      </c>
      <c r="B64" s="1" t="n">
        <v>45569</v>
      </c>
      <c r="C64" s="1" t="n">
        <v>45952</v>
      </c>
      <c r="D64" t="inlineStr">
        <is>
          <t>ÖREBRO LÄN</t>
        </is>
      </c>
      <c r="E64" t="inlineStr">
        <is>
          <t>ASKERSUND</t>
        </is>
      </c>
      <c r="G64" t="n">
        <v>6.8</v>
      </c>
      <c r="H64" t="n">
        <v>1</v>
      </c>
      <c r="I64" t="n">
        <v>4</v>
      </c>
      <c r="J64" t="n">
        <v>0</v>
      </c>
      <c r="K64" t="n">
        <v>0</v>
      </c>
      <c r="L64" t="n">
        <v>0</v>
      </c>
      <c r="M64" t="n">
        <v>0</v>
      </c>
      <c r="N64" t="n">
        <v>0</v>
      </c>
      <c r="O64" t="n">
        <v>0</v>
      </c>
      <c r="P64" t="n">
        <v>0</v>
      </c>
      <c r="Q64" t="n">
        <v>5</v>
      </c>
      <c r="R64" s="2" t="inlineStr">
        <is>
          <t>Barkkornlav
Scytinium lichenoides s.lat.
Stenporella
Svart trolldruva
Blåsippa</t>
        </is>
      </c>
      <c r="S64">
        <f>HYPERLINK("https://klasma.github.io/Logging_1882/artfynd/A 43619-2024 artfynd.xlsx", "A 43619-2024")</f>
        <v/>
      </c>
      <c r="T64">
        <f>HYPERLINK("https://klasma.github.io/Logging_1882/kartor/A 43619-2024 karta.png", "A 43619-2024")</f>
        <v/>
      </c>
      <c r="V64">
        <f>HYPERLINK("https://klasma.github.io/Logging_1882/klagomål/A 43619-2024 FSC-klagomål.docx", "A 43619-2024")</f>
        <v/>
      </c>
      <c r="W64">
        <f>HYPERLINK("https://klasma.github.io/Logging_1882/klagomålsmail/A 43619-2024 FSC-klagomål mail.docx", "A 43619-2024")</f>
        <v/>
      </c>
      <c r="X64">
        <f>HYPERLINK("https://klasma.github.io/Logging_1882/tillsyn/A 43619-2024 tillsynsbegäran.docx", "A 43619-2024")</f>
        <v/>
      </c>
      <c r="Y64">
        <f>HYPERLINK("https://klasma.github.io/Logging_1882/tillsynsmail/A 43619-2024 tillsynsbegäran mail.docx", "A 43619-2024")</f>
        <v/>
      </c>
    </row>
    <row r="65" ht="15" customHeight="1">
      <c r="A65" t="inlineStr">
        <is>
          <t>A 3927-2022</t>
        </is>
      </c>
      <c r="B65" s="1" t="n">
        <v>44587</v>
      </c>
      <c r="C65" s="1" t="n">
        <v>45952</v>
      </c>
      <c r="D65" t="inlineStr">
        <is>
          <t>ÖREBRO LÄN</t>
        </is>
      </c>
      <c r="E65" t="inlineStr">
        <is>
          <t>ASKERSUND</t>
        </is>
      </c>
      <c r="G65" t="n">
        <v>2.2</v>
      </c>
      <c r="H65" t="n">
        <v>4</v>
      </c>
      <c r="I65" t="n">
        <v>1</v>
      </c>
      <c r="J65" t="n">
        <v>1</v>
      </c>
      <c r="K65" t="n">
        <v>0</v>
      </c>
      <c r="L65" t="n">
        <v>0</v>
      </c>
      <c r="M65" t="n">
        <v>0</v>
      </c>
      <c r="N65" t="n">
        <v>0</v>
      </c>
      <c r="O65" t="n">
        <v>1</v>
      </c>
      <c r="P65" t="n">
        <v>0</v>
      </c>
      <c r="Q65" t="n">
        <v>5</v>
      </c>
      <c r="R65" s="2" t="inlineStr">
        <is>
          <t>Spillkråka
Bronshjon
Kungsfågel
Tjäder
Revlummer</t>
        </is>
      </c>
      <c r="S65">
        <f>HYPERLINK("https://klasma.github.io/Logging_1882/artfynd/A 3927-2022 artfynd.xlsx", "A 3927-2022")</f>
        <v/>
      </c>
      <c r="T65">
        <f>HYPERLINK("https://klasma.github.io/Logging_1882/kartor/A 3927-2022 karta.png", "A 3927-2022")</f>
        <v/>
      </c>
      <c r="V65">
        <f>HYPERLINK("https://klasma.github.io/Logging_1882/klagomål/A 3927-2022 FSC-klagomål.docx", "A 3927-2022")</f>
        <v/>
      </c>
      <c r="W65">
        <f>HYPERLINK("https://klasma.github.io/Logging_1882/klagomålsmail/A 3927-2022 FSC-klagomål mail.docx", "A 3927-2022")</f>
        <v/>
      </c>
      <c r="X65">
        <f>HYPERLINK("https://klasma.github.io/Logging_1882/tillsyn/A 3927-2022 tillsynsbegäran.docx", "A 3927-2022")</f>
        <v/>
      </c>
      <c r="Y65">
        <f>HYPERLINK("https://klasma.github.io/Logging_1882/tillsynsmail/A 3927-2022 tillsynsbegäran mail.docx", "A 3927-2022")</f>
        <v/>
      </c>
      <c r="Z65">
        <f>HYPERLINK("https://klasma.github.io/Logging_1882/fåglar/A 3927-2022 prioriterade fågelarter.docx", "A 3927-2022")</f>
        <v/>
      </c>
    </row>
    <row r="66" ht="15" customHeight="1">
      <c r="A66" t="inlineStr">
        <is>
          <t>A 2424-2022</t>
        </is>
      </c>
      <c r="B66" s="1" t="n">
        <v>44579</v>
      </c>
      <c r="C66" s="1" t="n">
        <v>45952</v>
      </c>
      <c r="D66" t="inlineStr">
        <is>
          <t>ÖREBRO LÄN</t>
        </is>
      </c>
      <c r="E66" t="inlineStr">
        <is>
          <t>ASKERSUND</t>
        </is>
      </c>
      <c r="G66" t="n">
        <v>1.1</v>
      </c>
      <c r="H66" t="n">
        <v>2</v>
      </c>
      <c r="I66" t="n">
        <v>0</v>
      </c>
      <c r="J66" t="n">
        <v>1</v>
      </c>
      <c r="K66" t="n">
        <v>0</v>
      </c>
      <c r="L66" t="n">
        <v>1</v>
      </c>
      <c r="M66" t="n">
        <v>0</v>
      </c>
      <c r="N66" t="n">
        <v>0</v>
      </c>
      <c r="O66" t="n">
        <v>2</v>
      </c>
      <c r="P66" t="n">
        <v>1</v>
      </c>
      <c r="Q66" t="n">
        <v>4</v>
      </c>
      <c r="R66" s="2" t="inlineStr">
        <is>
          <t>Fältgentiana
Sandviol
Blåsippa
Gullviva</t>
        </is>
      </c>
      <c r="S66">
        <f>HYPERLINK("https://klasma.github.io/Logging_1882/artfynd/A 2424-2022 artfynd.xlsx", "A 2424-2022")</f>
        <v/>
      </c>
      <c r="T66">
        <f>HYPERLINK("https://klasma.github.io/Logging_1882/kartor/A 2424-2022 karta.png", "A 2424-2022")</f>
        <v/>
      </c>
      <c r="V66">
        <f>HYPERLINK("https://klasma.github.io/Logging_1882/klagomål/A 2424-2022 FSC-klagomål.docx", "A 2424-2022")</f>
        <v/>
      </c>
      <c r="W66">
        <f>HYPERLINK("https://klasma.github.io/Logging_1882/klagomålsmail/A 2424-2022 FSC-klagomål mail.docx", "A 2424-2022")</f>
        <v/>
      </c>
      <c r="X66">
        <f>HYPERLINK("https://klasma.github.io/Logging_1882/tillsyn/A 2424-2022 tillsynsbegäran.docx", "A 2424-2022")</f>
        <v/>
      </c>
      <c r="Y66">
        <f>HYPERLINK("https://klasma.github.io/Logging_1882/tillsynsmail/A 2424-2022 tillsynsbegäran mail.docx", "A 2424-2022")</f>
        <v/>
      </c>
    </row>
    <row r="67" ht="15" customHeight="1">
      <c r="A67" t="inlineStr">
        <is>
          <t>A 58760-2020</t>
        </is>
      </c>
      <c r="B67" s="1" t="n">
        <v>44146</v>
      </c>
      <c r="C67" s="1" t="n">
        <v>45952</v>
      </c>
      <c r="D67" t="inlineStr">
        <is>
          <t>ÖREBRO LÄN</t>
        </is>
      </c>
      <c r="E67" t="inlineStr">
        <is>
          <t>HÄLLEFORS</t>
        </is>
      </c>
      <c r="F67" t="inlineStr">
        <is>
          <t>Sveaskog</t>
        </is>
      </c>
      <c r="G67" t="n">
        <v>1.8</v>
      </c>
      <c r="H67" t="n">
        <v>0</v>
      </c>
      <c r="I67" t="n">
        <v>2</v>
      </c>
      <c r="J67" t="n">
        <v>2</v>
      </c>
      <c r="K67" t="n">
        <v>0</v>
      </c>
      <c r="L67" t="n">
        <v>0</v>
      </c>
      <c r="M67" t="n">
        <v>0</v>
      </c>
      <c r="N67" t="n">
        <v>0</v>
      </c>
      <c r="O67" t="n">
        <v>2</v>
      </c>
      <c r="P67" t="n">
        <v>0</v>
      </c>
      <c r="Q67" t="n">
        <v>4</v>
      </c>
      <c r="R67" s="2" t="inlineStr">
        <is>
          <t>Gränsticka
Tallticka
Stor revmossa
Vedticka</t>
        </is>
      </c>
      <c r="S67">
        <f>HYPERLINK("https://klasma.github.io/Logging_1863/artfynd/A 58760-2020 artfynd.xlsx", "A 58760-2020")</f>
        <v/>
      </c>
      <c r="T67">
        <f>HYPERLINK("https://klasma.github.io/Logging_1863/kartor/A 58760-2020 karta.png", "A 58760-2020")</f>
        <v/>
      </c>
      <c r="V67">
        <f>HYPERLINK("https://klasma.github.io/Logging_1863/klagomål/A 58760-2020 FSC-klagomål.docx", "A 58760-2020")</f>
        <v/>
      </c>
      <c r="W67">
        <f>HYPERLINK("https://klasma.github.io/Logging_1863/klagomålsmail/A 58760-2020 FSC-klagomål mail.docx", "A 58760-2020")</f>
        <v/>
      </c>
      <c r="X67">
        <f>HYPERLINK("https://klasma.github.io/Logging_1863/tillsyn/A 58760-2020 tillsynsbegäran.docx", "A 58760-2020")</f>
        <v/>
      </c>
      <c r="Y67">
        <f>HYPERLINK("https://klasma.github.io/Logging_1863/tillsynsmail/A 58760-2020 tillsynsbegäran mail.docx", "A 58760-2020")</f>
        <v/>
      </c>
    </row>
    <row r="68" ht="15" customHeight="1">
      <c r="A68" t="inlineStr">
        <is>
          <t>A 60839-2021</t>
        </is>
      </c>
      <c r="B68" s="1" t="n">
        <v>44495</v>
      </c>
      <c r="C68" s="1" t="n">
        <v>45952</v>
      </c>
      <c r="D68" t="inlineStr">
        <is>
          <t>ÖREBRO LÄN</t>
        </is>
      </c>
      <c r="E68" t="inlineStr">
        <is>
          <t>NORA</t>
        </is>
      </c>
      <c r="F68" t="inlineStr">
        <is>
          <t>Kommuner</t>
        </is>
      </c>
      <c r="G68" t="n">
        <v>3.6</v>
      </c>
      <c r="H68" t="n">
        <v>3</v>
      </c>
      <c r="I68" t="n">
        <v>0</v>
      </c>
      <c r="J68" t="n">
        <v>3</v>
      </c>
      <c r="K68" t="n">
        <v>0</v>
      </c>
      <c r="L68" t="n">
        <v>0</v>
      </c>
      <c r="M68" t="n">
        <v>0</v>
      </c>
      <c r="N68" t="n">
        <v>0</v>
      </c>
      <c r="O68" t="n">
        <v>3</v>
      </c>
      <c r="P68" t="n">
        <v>0</v>
      </c>
      <c r="Q68" t="n">
        <v>4</v>
      </c>
      <c r="R68" s="2" t="inlineStr">
        <is>
          <t>Brunklöver
Drillsnäppa
Gulsparv
Grönvit nattviol</t>
        </is>
      </c>
      <c r="S68">
        <f>HYPERLINK("https://klasma.github.io/Logging_1884/artfynd/A 60839-2021 artfynd.xlsx", "A 60839-2021")</f>
        <v/>
      </c>
      <c r="T68">
        <f>HYPERLINK("https://klasma.github.io/Logging_1884/kartor/A 60839-2021 karta.png", "A 60839-2021")</f>
        <v/>
      </c>
      <c r="V68">
        <f>HYPERLINK("https://klasma.github.io/Logging_1884/klagomål/A 60839-2021 FSC-klagomål.docx", "A 60839-2021")</f>
        <v/>
      </c>
      <c r="W68">
        <f>HYPERLINK("https://klasma.github.io/Logging_1884/klagomålsmail/A 60839-2021 FSC-klagomål mail.docx", "A 60839-2021")</f>
        <v/>
      </c>
      <c r="X68">
        <f>HYPERLINK("https://klasma.github.io/Logging_1884/tillsyn/A 60839-2021 tillsynsbegäran.docx", "A 60839-2021")</f>
        <v/>
      </c>
      <c r="Y68">
        <f>HYPERLINK("https://klasma.github.io/Logging_1884/tillsynsmail/A 60839-2021 tillsynsbegäran mail.docx", "A 60839-2021")</f>
        <v/>
      </c>
      <c r="Z68">
        <f>HYPERLINK("https://klasma.github.io/Logging_1884/fåglar/A 60839-2021 prioriterade fågelarter.docx", "A 60839-2021")</f>
        <v/>
      </c>
    </row>
    <row r="69" ht="15" customHeight="1">
      <c r="A69" t="inlineStr">
        <is>
          <t>A 21177-2021</t>
        </is>
      </c>
      <c r="B69" s="1" t="n">
        <v>44320</v>
      </c>
      <c r="C69" s="1" t="n">
        <v>45952</v>
      </c>
      <c r="D69" t="inlineStr">
        <is>
          <t>ÖREBRO LÄN</t>
        </is>
      </c>
      <c r="E69" t="inlineStr">
        <is>
          <t>LINDESBERG</t>
        </is>
      </c>
      <c r="F69" t="inlineStr">
        <is>
          <t>Kommuner</t>
        </is>
      </c>
      <c r="G69" t="n">
        <v>2.3</v>
      </c>
      <c r="H69" t="n">
        <v>1</v>
      </c>
      <c r="I69" t="n">
        <v>1</v>
      </c>
      <c r="J69" t="n">
        <v>0</v>
      </c>
      <c r="K69" t="n">
        <v>1</v>
      </c>
      <c r="L69" t="n">
        <v>2</v>
      </c>
      <c r="M69" t="n">
        <v>0</v>
      </c>
      <c r="N69" t="n">
        <v>0</v>
      </c>
      <c r="O69" t="n">
        <v>3</v>
      </c>
      <c r="P69" t="n">
        <v>3</v>
      </c>
      <c r="Q69" t="n">
        <v>4</v>
      </c>
      <c r="R69" s="2" t="inlineStr">
        <is>
          <t>Ask
Asknätfjäril
Violgubbe
Svart trolldruva</t>
        </is>
      </c>
      <c r="S69">
        <f>HYPERLINK("https://klasma.github.io/Logging_1885/artfynd/A 21177-2021 artfynd.xlsx", "A 21177-2021")</f>
        <v/>
      </c>
      <c r="T69">
        <f>HYPERLINK("https://klasma.github.io/Logging_1885/kartor/A 21177-2021 karta.png", "A 21177-2021")</f>
        <v/>
      </c>
      <c r="V69">
        <f>HYPERLINK("https://klasma.github.io/Logging_1885/klagomål/A 21177-2021 FSC-klagomål.docx", "A 21177-2021")</f>
        <v/>
      </c>
      <c r="W69">
        <f>HYPERLINK("https://klasma.github.io/Logging_1885/klagomålsmail/A 21177-2021 FSC-klagomål mail.docx", "A 21177-2021")</f>
        <v/>
      </c>
      <c r="X69">
        <f>HYPERLINK("https://klasma.github.io/Logging_1885/tillsyn/A 21177-2021 tillsynsbegäran.docx", "A 21177-2021")</f>
        <v/>
      </c>
      <c r="Y69">
        <f>HYPERLINK("https://klasma.github.io/Logging_1885/tillsynsmail/A 21177-2021 tillsynsbegäran mail.docx", "A 21177-2021")</f>
        <v/>
      </c>
    </row>
    <row r="70" ht="15" customHeight="1">
      <c r="A70" t="inlineStr">
        <is>
          <t>A 26879-2021</t>
        </is>
      </c>
      <c r="B70" s="1" t="n">
        <v>44349</v>
      </c>
      <c r="C70" s="1" t="n">
        <v>45952</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65216-2021</t>
        </is>
      </c>
      <c r="B71" s="1" t="n">
        <v>44515</v>
      </c>
      <c r="C71" s="1" t="n">
        <v>45952</v>
      </c>
      <c r="D71" t="inlineStr">
        <is>
          <t>ÖREBRO LÄN</t>
        </is>
      </c>
      <c r="E71" t="inlineStr">
        <is>
          <t>LJUSNARSBERG</t>
        </is>
      </c>
      <c r="F71" t="inlineStr">
        <is>
          <t>Bergvik skog väst AB</t>
        </is>
      </c>
      <c r="G71" t="n">
        <v>1.9</v>
      </c>
      <c r="H71" t="n">
        <v>0</v>
      </c>
      <c r="I71" t="n">
        <v>1</v>
      </c>
      <c r="J71" t="n">
        <v>3</v>
      </c>
      <c r="K71" t="n">
        <v>0</v>
      </c>
      <c r="L71" t="n">
        <v>0</v>
      </c>
      <c r="M71" t="n">
        <v>0</v>
      </c>
      <c r="N71" t="n">
        <v>0</v>
      </c>
      <c r="O71" t="n">
        <v>3</v>
      </c>
      <c r="P71" t="n">
        <v>0</v>
      </c>
      <c r="Q71" t="n">
        <v>4</v>
      </c>
      <c r="R71" s="2" t="inlineStr">
        <is>
          <t>Brunpudrad nållav
Garnlav
Tallriska
Mindre märgborre</t>
        </is>
      </c>
      <c r="S71">
        <f>HYPERLINK("https://klasma.github.io/Logging_1864/artfynd/A 65216-2021 artfynd.xlsx", "A 65216-2021")</f>
        <v/>
      </c>
      <c r="T71">
        <f>HYPERLINK("https://klasma.github.io/Logging_1864/kartor/A 65216-2021 karta.png", "A 65216-2021")</f>
        <v/>
      </c>
      <c r="V71">
        <f>HYPERLINK("https://klasma.github.io/Logging_1864/klagomål/A 65216-2021 FSC-klagomål.docx", "A 65216-2021")</f>
        <v/>
      </c>
      <c r="W71">
        <f>HYPERLINK("https://klasma.github.io/Logging_1864/klagomålsmail/A 65216-2021 FSC-klagomål mail.docx", "A 65216-2021")</f>
        <v/>
      </c>
      <c r="X71">
        <f>HYPERLINK("https://klasma.github.io/Logging_1864/tillsyn/A 65216-2021 tillsynsbegäran.docx", "A 65216-2021")</f>
        <v/>
      </c>
      <c r="Y71">
        <f>HYPERLINK("https://klasma.github.io/Logging_1864/tillsynsmail/A 65216-2021 tillsynsbegäran mail.docx", "A 65216-2021")</f>
        <v/>
      </c>
    </row>
    <row r="72" ht="15" customHeight="1">
      <c r="A72" t="inlineStr">
        <is>
          <t>A 8564-2021</t>
        </is>
      </c>
      <c r="B72" s="1" t="n">
        <v>44245</v>
      </c>
      <c r="C72" s="1" t="n">
        <v>45952</v>
      </c>
      <c r="D72" t="inlineStr">
        <is>
          <t>ÖREBRO LÄN</t>
        </is>
      </c>
      <c r="E72" t="inlineStr">
        <is>
          <t>ÖREBRO</t>
        </is>
      </c>
      <c r="G72" t="n">
        <v>1.1</v>
      </c>
      <c r="H72" t="n">
        <v>1</v>
      </c>
      <c r="I72" t="n">
        <v>1</v>
      </c>
      <c r="J72" t="n">
        <v>1</v>
      </c>
      <c r="K72" t="n">
        <v>1</v>
      </c>
      <c r="L72" t="n">
        <v>0</v>
      </c>
      <c r="M72" t="n">
        <v>0</v>
      </c>
      <c r="N72" t="n">
        <v>0</v>
      </c>
      <c r="O72" t="n">
        <v>2</v>
      </c>
      <c r="P72" t="n">
        <v>1</v>
      </c>
      <c r="Q72" t="n">
        <v>4</v>
      </c>
      <c r="R72" s="2" t="inlineStr">
        <is>
          <t>Rynkskinn
Kilporing
Kornknutmossa
Fläcknycklar</t>
        </is>
      </c>
      <c r="S72">
        <f>HYPERLINK("https://klasma.github.io/Logging_1880/artfynd/A 8564-2021 artfynd.xlsx", "A 8564-2021")</f>
        <v/>
      </c>
      <c r="T72">
        <f>HYPERLINK("https://klasma.github.io/Logging_1880/kartor/A 8564-2021 karta.png", "A 8564-2021")</f>
        <v/>
      </c>
      <c r="V72">
        <f>HYPERLINK("https://klasma.github.io/Logging_1880/klagomål/A 8564-2021 FSC-klagomål.docx", "A 8564-2021")</f>
        <v/>
      </c>
      <c r="W72">
        <f>HYPERLINK("https://klasma.github.io/Logging_1880/klagomålsmail/A 8564-2021 FSC-klagomål mail.docx", "A 8564-2021")</f>
        <v/>
      </c>
      <c r="X72">
        <f>HYPERLINK("https://klasma.github.io/Logging_1880/tillsyn/A 8564-2021 tillsynsbegäran.docx", "A 8564-2021")</f>
        <v/>
      </c>
      <c r="Y72">
        <f>HYPERLINK("https://klasma.github.io/Logging_1880/tillsynsmail/A 8564-2021 tillsynsbegäran mail.docx", "A 8564-2021")</f>
        <v/>
      </c>
    </row>
    <row r="73" ht="15" customHeight="1">
      <c r="A73" t="inlineStr">
        <is>
          <t>A 22024-2024</t>
        </is>
      </c>
      <c r="B73" s="1" t="n">
        <v>45443.59229166667</v>
      </c>
      <c r="C73" s="1" t="n">
        <v>45952</v>
      </c>
      <c r="D73" t="inlineStr">
        <is>
          <t>ÖREBRO LÄN</t>
        </is>
      </c>
      <c r="E73" t="inlineStr">
        <is>
          <t>HALLSBERG</t>
        </is>
      </c>
      <c r="F73" t="inlineStr">
        <is>
          <t>Övriga Aktiebolag</t>
        </is>
      </c>
      <c r="G73" t="n">
        <v>3.8</v>
      </c>
      <c r="H73" t="n">
        <v>1</v>
      </c>
      <c r="I73" t="n">
        <v>1</v>
      </c>
      <c r="J73" t="n">
        <v>3</v>
      </c>
      <c r="K73" t="n">
        <v>0</v>
      </c>
      <c r="L73" t="n">
        <v>0</v>
      </c>
      <c r="M73" t="n">
        <v>0</v>
      </c>
      <c r="N73" t="n">
        <v>0</v>
      </c>
      <c r="O73" t="n">
        <v>3</v>
      </c>
      <c r="P73" t="n">
        <v>0</v>
      </c>
      <c r="Q73" t="n">
        <v>4</v>
      </c>
      <c r="R73" s="2" t="inlineStr">
        <is>
          <t>Rödvingetrast
Sommarfibbla
Ullticka
Björksplintborre</t>
        </is>
      </c>
      <c r="S73">
        <f>HYPERLINK("https://klasma.github.io/Logging_1861/artfynd/A 22024-2024 artfynd.xlsx", "A 22024-2024")</f>
        <v/>
      </c>
      <c r="T73">
        <f>HYPERLINK("https://klasma.github.io/Logging_1861/kartor/A 22024-2024 karta.png", "A 22024-2024")</f>
        <v/>
      </c>
      <c r="V73">
        <f>HYPERLINK("https://klasma.github.io/Logging_1861/klagomål/A 22024-2024 FSC-klagomål.docx", "A 22024-2024")</f>
        <v/>
      </c>
      <c r="W73">
        <f>HYPERLINK("https://klasma.github.io/Logging_1861/klagomålsmail/A 22024-2024 FSC-klagomål mail.docx", "A 22024-2024")</f>
        <v/>
      </c>
      <c r="X73">
        <f>HYPERLINK("https://klasma.github.io/Logging_1861/tillsyn/A 22024-2024 tillsynsbegäran.docx", "A 22024-2024")</f>
        <v/>
      </c>
      <c r="Y73">
        <f>HYPERLINK("https://klasma.github.io/Logging_1861/tillsynsmail/A 22024-2024 tillsynsbegäran mail.docx", "A 22024-2024")</f>
        <v/>
      </c>
      <c r="Z73">
        <f>HYPERLINK("https://klasma.github.io/Logging_1861/fåglar/A 22024-2024 prioriterade fågelarter.docx", "A 22024-2024")</f>
        <v/>
      </c>
    </row>
    <row r="74" ht="15" customHeight="1">
      <c r="A74" t="inlineStr">
        <is>
          <t>A 60085-2021</t>
        </is>
      </c>
      <c r="B74" s="1" t="n">
        <v>44495</v>
      </c>
      <c r="C74" s="1" t="n">
        <v>45952</v>
      </c>
      <c r="D74" t="inlineStr">
        <is>
          <t>ÖREBRO LÄN</t>
        </is>
      </c>
      <c r="E74" t="inlineStr">
        <is>
          <t>KARLSKOGA</t>
        </is>
      </c>
      <c r="G74" t="n">
        <v>3.6</v>
      </c>
      <c r="H74" t="n">
        <v>0</v>
      </c>
      <c r="I74" t="n">
        <v>3</v>
      </c>
      <c r="J74" t="n">
        <v>0</v>
      </c>
      <c r="K74" t="n">
        <v>1</v>
      </c>
      <c r="L74" t="n">
        <v>0</v>
      </c>
      <c r="M74" t="n">
        <v>0</v>
      </c>
      <c r="N74" t="n">
        <v>0</v>
      </c>
      <c r="O74" t="n">
        <v>1</v>
      </c>
      <c r="P74" t="n">
        <v>1</v>
      </c>
      <c r="Q74" t="n">
        <v>4</v>
      </c>
      <c r="R74" s="2" t="inlineStr">
        <is>
          <t>Citronfingersvamp
Mörk husmossa
Svart trolldruva
Västlig hakmossa</t>
        </is>
      </c>
      <c r="S74">
        <f>HYPERLINK("https://klasma.github.io/Logging_1883/artfynd/A 60085-2021 artfynd.xlsx", "A 60085-2021")</f>
        <v/>
      </c>
      <c r="T74">
        <f>HYPERLINK("https://klasma.github.io/Logging_1883/kartor/A 60085-2021 karta.png", "A 60085-2021")</f>
        <v/>
      </c>
      <c r="V74">
        <f>HYPERLINK("https://klasma.github.io/Logging_1883/klagomål/A 60085-2021 FSC-klagomål.docx", "A 60085-2021")</f>
        <v/>
      </c>
      <c r="W74">
        <f>HYPERLINK("https://klasma.github.io/Logging_1883/klagomålsmail/A 60085-2021 FSC-klagomål mail.docx", "A 60085-2021")</f>
        <v/>
      </c>
      <c r="X74">
        <f>HYPERLINK("https://klasma.github.io/Logging_1883/tillsyn/A 60085-2021 tillsynsbegäran.docx", "A 60085-2021")</f>
        <v/>
      </c>
      <c r="Y74">
        <f>HYPERLINK("https://klasma.github.io/Logging_1883/tillsynsmail/A 60085-2021 tillsynsbegäran mail.docx", "A 60085-2021")</f>
        <v/>
      </c>
    </row>
    <row r="75" ht="15" customHeight="1">
      <c r="A75" t="inlineStr">
        <is>
          <t>A 12974-2022</t>
        </is>
      </c>
      <c r="B75" s="1" t="n">
        <v>44643.38490740741</v>
      </c>
      <c r="C75" s="1" t="n">
        <v>45952</v>
      </c>
      <c r="D75" t="inlineStr">
        <is>
          <t>ÖREBRO LÄN</t>
        </is>
      </c>
      <c r="E75" t="inlineStr">
        <is>
          <t>ÖREBRO</t>
        </is>
      </c>
      <c r="G75" t="n">
        <v>3.3</v>
      </c>
      <c r="H75" t="n">
        <v>4</v>
      </c>
      <c r="I75" t="n">
        <v>0</v>
      </c>
      <c r="J75" t="n">
        <v>2</v>
      </c>
      <c r="K75" t="n">
        <v>0</v>
      </c>
      <c r="L75" t="n">
        <v>0</v>
      </c>
      <c r="M75" t="n">
        <v>0</v>
      </c>
      <c r="N75" t="n">
        <v>0</v>
      </c>
      <c r="O75" t="n">
        <v>2</v>
      </c>
      <c r="P75" t="n">
        <v>0</v>
      </c>
      <c r="Q75" t="n">
        <v>4</v>
      </c>
      <c r="R75" s="2" t="inlineStr">
        <is>
          <t>Duvhök
Grönsångare
Kungsfågel
Kopparödla</t>
        </is>
      </c>
      <c r="S75">
        <f>HYPERLINK("https://klasma.github.io/Logging_1880/artfynd/A 12974-2022 artfynd.xlsx", "A 12974-2022")</f>
        <v/>
      </c>
      <c r="T75">
        <f>HYPERLINK("https://klasma.github.io/Logging_1880/kartor/A 12974-2022 karta.png", "A 12974-2022")</f>
        <v/>
      </c>
      <c r="V75">
        <f>HYPERLINK("https://klasma.github.io/Logging_1880/klagomål/A 12974-2022 FSC-klagomål.docx", "A 12974-2022")</f>
        <v/>
      </c>
      <c r="W75">
        <f>HYPERLINK("https://klasma.github.io/Logging_1880/klagomålsmail/A 12974-2022 FSC-klagomål mail.docx", "A 12974-2022")</f>
        <v/>
      </c>
      <c r="X75">
        <f>HYPERLINK("https://klasma.github.io/Logging_1880/tillsyn/A 12974-2022 tillsynsbegäran.docx", "A 12974-2022")</f>
        <v/>
      </c>
      <c r="Y75">
        <f>HYPERLINK("https://klasma.github.io/Logging_1880/tillsynsmail/A 12974-2022 tillsynsbegäran mail.docx", "A 12974-2022")</f>
        <v/>
      </c>
      <c r="Z75">
        <f>HYPERLINK("https://klasma.github.io/Logging_1880/fåglar/A 12974-2022 prioriterade fågelarter.docx", "A 12974-2022")</f>
        <v/>
      </c>
    </row>
    <row r="76" ht="15" customHeight="1">
      <c r="A76" t="inlineStr">
        <is>
          <t>A 7751-2024</t>
        </is>
      </c>
      <c r="B76" s="1" t="n">
        <v>45349</v>
      </c>
      <c r="C76" s="1" t="n">
        <v>45952</v>
      </c>
      <c r="D76" t="inlineStr">
        <is>
          <t>ÖREBRO LÄN</t>
        </is>
      </c>
      <c r="E76" t="inlineStr">
        <is>
          <t>ASKERSUND</t>
        </is>
      </c>
      <c r="G76" t="n">
        <v>12.4</v>
      </c>
      <c r="H76" t="n">
        <v>2</v>
      </c>
      <c r="I76" t="n">
        <v>0</v>
      </c>
      <c r="J76" t="n">
        <v>2</v>
      </c>
      <c r="K76" t="n">
        <v>0</v>
      </c>
      <c r="L76" t="n">
        <v>0</v>
      </c>
      <c r="M76" t="n">
        <v>0</v>
      </c>
      <c r="N76" t="n">
        <v>0</v>
      </c>
      <c r="O76" t="n">
        <v>2</v>
      </c>
      <c r="P76" t="n">
        <v>0</v>
      </c>
      <c r="Q76" t="n">
        <v>4</v>
      </c>
      <c r="R76" s="2" t="inlineStr">
        <is>
          <t>Slåtterfibbla
Svinrot
Fläcknycklar
Nattviol</t>
        </is>
      </c>
      <c r="S76">
        <f>HYPERLINK("https://klasma.github.io/Logging_1882/artfynd/A 7751-2024 artfynd.xlsx", "A 7751-2024")</f>
        <v/>
      </c>
      <c r="T76">
        <f>HYPERLINK("https://klasma.github.io/Logging_1882/kartor/A 7751-2024 karta.png", "A 7751-2024")</f>
        <v/>
      </c>
      <c r="V76">
        <f>HYPERLINK("https://klasma.github.io/Logging_1882/klagomål/A 7751-2024 FSC-klagomål.docx", "A 7751-2024")</f>
        <v/>
      </c>
      <c r="W76">
        <f>HYPERLINK("https://klasma.github.io/Logging_1882/klagomålsmail/A 7751-2024 FSC-klagomål mail.docx", "A 7751-2024")</f>
        <v/>
      </c>
      <c r="X76">
        <f>HYPERLINK("https://klasma.github.io/Logging_1882/tillsyn/A 7751-2024 tillsynsbegäran.docx", "A 7751-2024")</f>
        <v/>
      </c>
      <c r="Y76">
        <f>HYPERLINK("https://klasma.github.io/Logging_1882/tillsynsmail/A 7751-2024 tillsynsbegäran mail.docx", "A 7751-2024")</f>
        <v/>
      </c>
    </row>
    <row r="77" ht="15" customHeight="1">
      <c r="A77" t="inlineStr">
        <is>
          <t>A 3669-2023</t>
        </is>
      </c>
      <c r="B77" s="1" t="n">
        <v>44950</v>
      </c>
      <c r="C77" s="1" t="n">
        <v>45952</v>
      </c>
      <c r="D77" t="inlineStr">
        <is>
          <t>ÖREBRO LÄN</t>
        </is>
      </c>
      <c r="E77" t="inlineStr">
        <is>
          <t>ASKERSUND</t>
        </is>
      </c>
      <c r="G77" t="n">
        <v>2.5</v>
      </c>
      <c r="H77" t="n">
        <v>0</v>
      </c>
      <c r="I77" t="n">
        <v>2</v>
      </c>
      <c r="J77" t="n">
        <v>2</v>
      </c>
      <c r="K77" t="n">
        <v>0</v>
      </c>
      <c r="L77" t="n">
        <v>0</v>
      </c>
      <c r="M77" t="n">
        <v>0</v>
      </c>
      <c r="N77" t="n">
        <v>0</v>
      </c>
      <c r="O77" t="n">
        <v>2</v>
      </c>
      <c r="P77" t="n">
        <v>0</v>
      </c>
      <c r="Q77" t="n">
        <v>4</v>
      </c>
      <c r="R77" s="2" t="inlineStr">
        <is>
          <t>Gropticka
Motaggsvamp
Blåmossa
Dropptaggsvamp</t>
        </is>
      </c>
      <c r="S77">
        <f>HYPERLINK("https://klasma.github.io/Logging_1882/artfynd/A 3669-2023 artfynd.xlsx", "A 3669-2023")</f>
        <v/>
      </c>
      <c r="T77">
        <f>HYPERLINK("https://klasma.github.io/Logging_1882/kartor/A 3669-2023 karta.png", "A 3669-2023")</f>
        <v/>
      </c>
      <c r="V77">
        <f>HYPERLINK("https://klasma.github.io/Logging_1882/klagomål/A 3669-2023 FSC-klagomål.docx", "A 3669-2023")</f>
        <v/>
      </c>
      <c r="W77">
        <f>HYPERLINK("https://klasma.github.io/Logging_1882/klagomålsmail/A 3669-2023 FSC-klagomål mail.docx", "A 3669-2023")</f>
        <v/>
      </c>
      <c r="X77">
        <f>HYPERLINK("https://klasma.github.io/Logging_1882/tillsyn/A 3669-2023 tillsynsbegäran.docx", "A 3669-2023")</f>
        <v/>
      </c>
      <c r="Y77">
        <f>HYPERLINK("https://klasma.github.io/Logging_1882/tillsynsmail/A 3669-2023 tillsynsbegäran mail.docx", "A 3669-2023")</f>
        <v/>
      </c>
    </row>
    <row r="78" ht="15" customHeight="1">
      <c r="A78" t="inlineStr">
        <is>
          <t>A 51530-2024</t>
        </is>
      </c>
      <c r="B78" s="1" t="n">
        <v>45604</v>
      </c>
      <c r="C78" s="1" t="n">
        <v>45952</v>
      </c>
      <c r="D78" t="inlineStr">
        <is>
          <t>ÖREBRO LÄN</t>
        </is>
      </c>
      <c r="E78" t="inlineStr">
        <is>
          <t>ÖREBRO</t>
        </is>
      </c>
      <c r="F78" t="inlineStr">
        <is>
          <t>Kommuner</t>
        </is>
      </c>
      <c r="G78" t="n">
        <v>15.4</v>
      </c>
      <c r="H78" t="n">
        <v>1</v>
      </c>
      <c r="I78" t="n">
        <v>0</v>
      </c>
      <c r="J78" t="n">
        <v>3</v>
      </c>
      <c r="K78" t="n">
        <v>0</v>
      </c>
      <c r="L78" t="n">
        <v>0</v>
      </c>
      <c r="M78" t="n">
        <v>0</v>
      </c>
      <c r="N78" t="n">
        <v>0</v>
      </c>
      <c r="O78" t="n">
        <v>3</v>
      </c>
      <c r="P78" t="n">
        <v>0</v>
      </c>
      <c r="Q78" t="n">
        <v>4</v>
      </c>
      <c r="R78" s="2" t="inlineStr">
        <is>
          <t>Leptoporus mollis
Tallticka
Ullticka
Revlummer</t>
        </is>
      </c>
      <c r="S78">
        <f>HYPERLINK("https://klasma.github.io/Logging_1880/artfynd/A 51530-2024 artfynd.xlsx", "A 51530-2024")</f>
        <v/>
      </c>
      <c r="T78">
        <f>HYPERLINK("https://klasma.github.io/Logging_1880/kartor/A 51530-2024 karta.png", "A 51530-2024")</f>
        <v/>
      </c>
      <c r="V78">
        <f>HYPERLINK("https://klasma.github.io/Logging_1880/klagomål/A 51530-2024 FSC-klagomål.docx", "A 51530-2024")</f>
        <v/>
      </c>
      <c r="W78">
        <f>HYPERLINK("https://klasma.github.io/Logging_1880/klagomålsmail/A 51530-2024 FSC-klagomål mail.docx", "A 51530-2024")</f>
        <v/>
      </c>
      <c r="X78">
        <f>HYPERLINK("https://klasma.github.io/Logging_1880/tillsyn/A 51530-2024 tillsynsbegäran.docx", "A 51530-2024")</f>
        <v/>
      </c>
      <c r="Y78">
        <f>HYPERLINK("https://klasma.github.io/Logging_1880/tillsynsmail/A 51530-2024 tillsynsbegäran mail.docx", "A 51530-2024")</f>
        <v/>
      </c>
    </row>
    <row r="79" ht="15" customHeight="1">
      <c r="A79" t="inlineStr">
        <is>
          <t>A 2441-2025</t>
        </is>
      </c>
      <c r="B79" s="1" t="n">
        <v>45674</v>
      </c>
      <c r="C79" s="1" t="n">
        <v>45952</v>
      </c>
      <c r="D79" t="inlineStr">
        <is>
          <t>ÖREBRO LÄN</t>
        </is>
      </c>
      <c r="E79" t="inlineStr">
        <is>
          <t>ASKERSUND</t>
        </is>
      </c>
      <c r="G79" t="n">
        <v>1.5</v>
      </c>
      <c r="H79" t="n">
        <v>2</v>
      </c>
      <c r="I79" t="n">
        <v>1</v>
      </c>
      <c r="J79" t="n">
        <v>1</v>
      </c>
      <c r="K79" t="n">
        <v>0</v>
      </c>
      <c r="L79" t="n">
        <v>0</v>
      </c>
      <c r="M79" t="n">
        <v>0</v>
      </c>
      <c r="N79" t="n">
        <v>0</v>
      </c>
      <c r="O79" t="n">
        <v>1</v>
      </c>
      <c r="P79" t="n">
        <v>0</v>
      </c>
      <c r="Q79" t="n">
        <v>4</v>
      </c>
      <c r="R79" s="2" t="inlineStr">
        <is>
          <t>Solvända
Svart trolldruva
Grönvit nattviol
Blåsippa</t>
        </is>
      </c>
      <c r="S79">
        <f>HYPERLINK("https://klasma.github.io/Logging_1882/artfynd/A 2441-2025 artfynd.xlsx", "A 2441-2025")</f>
        <v/>
      </c>
      <c r="T79">
        <f>HYPERLINK("https://klasma.github.io/Logging_1882/kartor/A 2441-2025 karta.png", "A 2441-2025")</f>
        <v/>
      </c>
      <c r="V79">
        <f>HYPERLINK("https://klasma.github.io/Logging_1882/klagomål/A 2441-2025 FSC-klagomål.docx", "A 2441-2025")</f>
        <v/>
      </c>
      <c r="W79">
        <f>HYPERLINK("https://klasma.github.io/Logging_1882/klagomålsmail/A 2441-2025 FSC-klagomål mail.docx", "A 2441-2025")</f>
        <v/>
      </c>
      <c r="X79">
        <f>HYPERLINK("https://klasma.github.io/Logging_1882/tillsyn/A 2441-2025 tillsynsbegäran.docx", "A 2441-2025")</f>
        <v/>
      </c>
      <c r="Y79">
        <f>HYPERLINK("https://klasma.github.io/Logging_1882/tillsynsmail/A 2441-2025 tillsynsbegäran mail.docx", "A 2441-2025")</f>
        <v/>
      </c>
    </row>
    <row r="80" ht="15" customHeight="1">
      <c r="A80" t="inlineStr">
        <is>
          <t>A 34293-2023</t>
        </is>
      </c>
      <c r="B80" s="1" t="n">
        <v>45138</v>
      </c>
      <c r="C80" s="1" t="n">
        <v>45952</v>
      </c>
      <c r="D80" t="inlineStr">
        <is>
          <t>ÖREBRO LÄN</t>
        </is>
      </c>
      <c r="E80" t="inlineStr">
        <is>
          <t>LINDESBERG</t>
        </is>
      </c>
      <c r="F80" t="inlineStr">
        <is>
          <t>Sveaskog</t>
        </is>
      </c>
      <c r="G80" t="n">
        <v>0.5</v>
      </c>
      <c r="H80" t="n">
        <v>2</v>
      </c>
      <c r="I80" t="n">
        <v>3</v>
      </c>
      <c r="J80" t="n">
        <v>0</v>
      </c>
      <c r="K80" t="n">
        <v>1</v>
      </c>
      <c r="L80" t="n">
        <v>0</v>
      </c>
      <c r="M80" t="n">
        <v>0</v>
      </c>
      <c r="N80" t="n">
        <v>0</v>
      </c>
      <c r="O80" t="n">
        <v>1</v>
      </c>
      <c r="P80" t="n">
        <v>1</v>
      </c>
      <c r="Q80" t="n">
        <v>4</v>
      </c>
      <c r="R80" s="2" t="inlineStr">
        <is>
          <t>Knärot
Dropptaggsvamp
Korallrot
Vedticka</t>
        </is>
      </c>
      <c r="S80">
        <f>HYPERLINK("https://klasma.github.io/Logging_1885/artfynd/A 34293-2023 artfynd.xlsx", "A 34293-2023")</f>
        <v/>
      </c>
      <c r="T80">
        <f>HYPERLINK("https://klasma.github.io/Logging_1885/kartor/A 34293-2023 karta.png", "A 34293-2023")</f>
        <v/>
      </c>
      <c r="U80">
        <f>HYPERLINK("https://klasma.github.io/Logging_1885/knärot/A 34293-2023 karta knärot.png", "A 34293-2023")</f>
        <v/>
      </c>
      <c r="V80">
        <f>HYPERLINK("https://klasma.github.io/Logging_1885/klagomål/A 34293-2023 FSC-klagomål.docx", "A 34293-2023")</f>
        <v/>
      </c>
      <c r="W80">
        <f>HYPERLINK("https://klasma.github.io/Logging_1885/klagomålsmail/A 34293-2023 FSC-klagomål mail.docx", "A 34293-2023")</f>
        <v/>
      </c>
      <c r="X80">
        <f>HYPERLINK("https://klasma.github.io/Logging_1885/tillsyn/A 34293-2023 tillsynsbegäran.docx", "A 34293-2023")</f>
        <v/>
      </c>
      <c r="Y80">
        <f>HYPERLINK("https://klasma.github.io/Logging_1885/tillsynsmail/A 34293-2023 tillsynsbegäran mail.docx", "A 34293-2023")</f>
        <v/>
      </c>
    </row>
    <row r="81" ht="15" customHeight="1">
      <c r="A81" t="inlineStr">
        <is>
          <t>A 39189-2025</t>
        </is>
      </c>
      <c r="B81" s="1" t="n">
        <v>45888.67560185185</v>
      </c>
      <c r="C81" s="1" t="n">
        <v>45952</v>
      </c>
      <c r="D81" t="inlineStr">
        <is>
          <t>ÖREBRO LÄN</t>
        </is>
      </c>
      <c r="E81" t="inlineStr">
        <is>
          <t>LINDESBERG</t>
        </is>
      </c>
      <c r="G81" t="n">
        <v>2.1</v>
      </c>
      <c r="H81" t="n">
        <v>0</v>
      </c>
      <c r="I81" t="n">
        <v>2</v>
      </c>
      <c r="J81" t="n">
        <v>2</v>
      </c>
      <c r="K81" t="n">
        <v>0</v>
      </c>
      <c r="L81" t="n">
        <v>0</v>
      </c>
      <c r="M81" t="n">
        <v>0</v>
      </c>
      <c r="N81" t="n">
        <v>0</v>
      </c>
      <c r="O81" t="n">
        <v>2</v>
      </c>
      <c r="P81" t="n">
        <v>0</v>
      </c>
      <c r="Q81" t="n">
        <v>4</v>
      </c>
      <c r="R81" s="2" t="inlineStr">
        <is>
          <t>Svartvit taggsvamp
Ullticka
Dropptaggsvamp
Vedticka</t>
        </is>
      </c>
      <c r="S81">
        <f>HYPERLINK("https://klasma.github.io/Logging_1885/artfynd/A 39189-2025 artfynd.xlsx", "A 39189-2025")</f>
        <v/>
      </c>
      <c r="T81">
        <f>HYPERLINK("https://klasma.github.io/Logging_1885/kartor/A 39189-2025 karta.png", "A 39189-2025")</f>
        <v/>
      </c>
      <c r="V81">
        <f>HYPERLINK("https://klasma.github.io/Logging_1885/klagomål/A 39189-2025 FSC-klagomål.docx", "A 39189-2025")</f>
        <v/>
      </c>
      <c r="W81">
        <f>HYPERLINK("https://klasma.github.io/Logging_1885/klagomålsmail/A 39189-2025 FSC-klagomål mail.docx", "A 39189-2025")</f>
        <v/>
      </c>
      <c r="X81">
        <f>HYPERLINK("https://klasma.github.io/Logging_1885/tillsyn/A 39189-2025 tillsynsbegäran.docx", "A 39189-2025")</f>
        <v/>
      </c>
      <c r="Y81">
        <f>HYPERLINK("https://klasma.github.io/Logging_1885/tillsynsmail/A 39189-2025 tillsynsbegäran mail.docx", "A 39189-2025")</f>
        <v/>
      </c>
    </row>
    <row r="82" ht="15" customHeight="1">
      <c r="A82" t="inlineStr">
        <is>
          <t>A 41623-2024</t>
        </is>
      </c>
      <c r="B82" s="1" t="n">
        <v>45560</v>
      </c>
      <c r="C82" s="1" t="n">
        <v>45952</v>
      </c>
      <c r="D82" t="inlineStr">
        <is>
          <t>ÖREBRO LÄN</t>
        </is>
      </c>
      <c r="E82" t="inlineStr">
        <is>
          <t>LJUSNARSBERG</t>
        </is>
      </c>
      <c r="G82" t="n">
        <v>0.5</v>
      </c>
      <c r="H82" t="n">
        <v>0</v>
      </c>
      <c r="I82" t="n">
        <v>0</v>
      </c>
      <c r="J82" t="n">
        <v>3</v>
      </c>
      <c r="K82" t="n">
        <v>1</v>
      </c>
      <c r="L82" t="n">
        <v>0</v>
      </c>
      <c r="M82" t="n">
        <v>0</v>
      </c>
      <c r="N82" t="n">
        <v>0</v>
      </c>
      <c r="O82" t="n">
        <v>4</v>
      </c>
      <c r="P82" t="n">
        <v>1</v>
      </c>
      <c r="Q82" t="n">
        <v>4</v>
      </c>
      <c r="R82" s="2" t="inlineStr">
        <is>
          <t>Skuggmalmätare
Brunflammig fältmätare
Glimmalmätare
Ligusterfly</t>
        </is>
      </c>
      <c r="S82">
        <f>HYPERLINK("https://klasma.github.io/Logging_1864/artfynd/A 41623-2024 artfynd.xlsx", "A 41623-2024")</f>
        <v/>
      </c>
      <c r="T82">
        <f>HYPERLINK("https://klasma.github.io/Logging_1864/kartor/A 41623-2024 karta.png", "A 41623-2024")</f>
        <v/>
      </c>
      <c r="V82">
        <f>HYPERLINK("https://klasma.github.io/Logging_1864/klagomål/A 41623-2024 FSC-klagomål.docx", "A 41623-2024")</f>
        <v/>
      </c>
      <c r="W82">
        <f>HYPERLINK("https://klasma.github.io/Logging_1864/klagomålsmail/A 41623-2024 FSC-klagomål mail.docx", "A 41623-2024")</f>
        <v/>
      </c>
      <c r="X82">
        <f>HYPERLINK("https://klasma.github.io/Logging_1864/tillsyn/A 41623-2024 tillsynsbegäran.docx", "A 41623-2024")</f>
        <v/>
      </c>
      <c r="Y82">
        <f>HYPERLINK("https://klasma.github.io/Logging_1864/tillsynsmail/A 41623-2024 tillsynsbegäran mail.docx", "A 41623-2024")</f>
        <v/>
      </c>
    </row>
    <row r="83" ht="15" customHeight="1">
      <c r="A83" t="inlineStr">
        <is>
          <t>A 401-2023</t>
        </is>
      </c>
      <c r="B83" s="1" t="n">
        <v>44929</v>
      </c>
      <c r="C83" s="1" t="n">
        <v>45952</v>
      </c>
      <c r="D83" t="inlineStr">
        <is>
          <t>ÖREBRO LÄN</t>
        </is>
      </c>
      <c r="E83" t="inlineStr">
        <is>
          <t>ASKERSUND</t>
        </is>
      </c>
      <c r="F83" t="inlineStr">
        <is>
          <t>Sveaskog</t>
        </is>
      </c>
      <c r="G83" t="n">
        <v>3.6</v>
      </c>
      <c r="H83" t="n">
        <v>3</v>
      </c>
      <c r="I83" t="n">
        <v>0</v>
      </c>
      <c r="J83" t="n">
        <v>1</v>
      </c>
      <c r="K83" t="n">
        <v>0</v>
      </c>
      <c r="L83" t="n">
        <v>0</v>
      </c>
      <c r="M83" t="n">
        <v>0</v>
      </c>
      <c r="N83" t="n">
        <v>0</v>
      </c>
      <c r="O83" t="n">
        <v>1</v>
      </c>
      <c r="P83" t="n">
        <v>0</v>
      </c>
      <c r="Q83" t="n">
        <v>4</v>
      </c>
      <c r="R83" s="2" t="inlineStr">
        <is>
          <t>Blanksvart spiklav
Vanlig groda
Fläcknycklar
Mattlummer</t>
        </is>
      </c>
      <c r="S83">
        <f>HYPERLINK("https://klasma.github.io/Logging_1882/artfynd/A 401-2023 artfynd.xlsx", "A 401-2023")</f>
        <v/>
      </c>
      <c r="T83">
        <f>HYPERLINK("https://klasma.github.io/Logging_1882/kartor/A 401-2023 karta.png", "A 401-2023")</f>
        <v/>
      </c>
      <c r="V83">
        <f>HYPERLINK("https://klasma.github.io/Logging_1882/klagomål/A 401-2023 FSC-klagomål.docx", "A 401-2023")</f>
        <v/>
      </c>
      <c r="W83">
        <f>HYPERLINK("https://klasma.github.io/Logging_1882/klagomålsmail/A 401-2023 FSC-klagomål mail.docx", "A 401-2023")</f>
        <v/>
      </c>
      <c r="X83">
        <f>HYPERLINK("https://klasma.github.io/Logging_1882/tillsyn/A 401-2023 tillsynsbegäran.docx", "A 401-2023")</f>
        <v/>
      </c>
      <c r="Y83">
        <f>HYPERLINK("https://klasma.github.io/Logging_1882/tillsynsmail/A 401-2023 tillsynsbegäran mail.docx", "A 401-2023")</f>
        <v/>
      </c>
    </row>
    <row r="84" ht="15" customHeight="1">
      <c r="A84" t="inlineStr">
        <is>
          <t>A 33069-2025</t>
        </is>
      </c>
      <c r="B84" s="1" t="n">
        <v>45840</v>
      </c>
      <c r="C84" s="1" t="n">
        <v>45952</v>
      </c>
      <c r="D84" t="inlineStr">
        <is>
          <t>ÖREBRO LÄN</t>
        </is>
      </c>
      <c r="E84" t="inlineStr">
        <is>
          <t>ÖREBRO</t>
        </is>
      </c>
      <c r="G84" t="n">
        <v>11.6</v>
      </c>
      <c r="H84" t="n">
        <v>4</v>
      </c>
      <c r="I84" t="n">
        <v>0</v>
      </c>
      <c r="J84" t="n">
        <v>0</v>
      </c>
      <c r="K84" t="n">
        <v>0</v>
      </c>
      <c r="L84" t="n">
        <v>0</v>
      </c>
      <c r="M84" t="n">
        <v>0</v>
      </c>
      <c r="N84" t="n">
        <v>0</v>
      </c>
      <c r="O84" t="n">
        <v>0</v>
      </c>
      <c r="P84" t="n">
        <v>0</v>
      </c>
      <c r="Q84" t="n">
        <v>4</v>
      </c>
      <c r="R84" s="2" t="inlineStr">
        <is>
          <t>Gröngöling
Mindre vattensalamander
Vanlig groda
Revlummer</t>
        </is>
      </c>
      <c r="S84">
        <f>HYPERLINK("https://klasma.github.io/Logging_1880/artfynd/A 33069-2025 artfynd.xlsx", "A 33069-2025")</f>
        <v/>
      </c>
      <c r="T84">
        <f>HYPERLINK("https://klasma.github.io/Logging_1880/kartor/A 33069-2025 karta.png", "A 33069-2025")</f>
        <v/>
      </c>
      <c r="V84">
        <f>HYPERLINK("https://klasma.github.io/Logging_1880/klagomål/A 33069-2025 FSC-klagomål.docx", "A 33069-2025")</f>
        <v/>
      </c>
      <c r="W84">
        <f>HYPERLINK("https://klasma.github.io/Logging_1880/klagomålsmail/A 33069-2025 FSC-klagomål mail.docx", "A 33069-2025")</f>
        <v/>
      </c>
      <c r="X84">
        <f>HYPERLINK("https://klasma.github.io/Logging_1880/tillsyn/A 33069-2025 tillsynsbegäran.docx", "A 33069-2025")</f>
        <v/>
      </c>
      <c r="Y84">
        <f>HYPERLINK("https://klasma.github.io/Logging_1880/tillsynsmail/A 33069-2025 tillsynsbegäran mail.docx", "A 33069-2025")</f>
        <v/>
      </c>
      <c r="Z84">
        <f>HYPERLINK("https://klasma.github.io/Logging_1880/fåglar/A 33069-2025 prioriterade fågelarter.docx", "A 33069-2025")</f>
        <v/>
      </c>
    </row>
    <row r="85" ht="15" customHeight="1">
      <c r="A85" t="inlineStr">
        <is>
          <t>A 54592-2023</t>
        </is>
      </c>
      <c r="B85" s="1" t="n">
        <v>45228</v>
      </c>
      <c r="C85" s="1" t="n">
        <v>45952</v>
      </c>
      <c r="D85" t="inlineStr">
        <is>
          <t>ÖREBRO LÄN</t>
        </is>
      </c>
      <c r="E85" t="inlineStr">
        <is>
          <t>ASKERSUND</t>
        </is>
      </c>
      <c r="G85" t="n">
        <v>4.6</v>
      </c>
      <c r="H85" t="n">
        <v>1</v>
      </c>
      <c r="I85" t="n">
        <v>0</v>
      </c>
      <c r="J85" t="n">
        <v>3</v>
      </c>
      <c r="K85" t="n">
        <v>0</v>
      </c>
      <c r="L85" t="n">
        <v>1</v>
      </c>
      <c r="M85" t="n">
        <v>0</v>
      </c>
      <c r="N85" t="n">
        <v>0</v>
      </c>
      <c r="O85" t="n">
        <v>4</v>
      </c>
      <c r="P85" t="n">
        <v>1</v>
      </c>
      <c r="Q85" t="n">
        <v>4</v>
      </c>
      <c r="R85" s="2" t="inlineStr">
        <is>
          <t>Ask
Spillkråka
Svinrot
Vårstarr</t>
        </is>
      </c>
      <c r="S85">
        <f>HYPERLINK("https://klasma.github.io/Logging_1882/artfynd/A 54592-2023 artfynd.xlsx", "A 54592-2023")</f>
        <v/>
      </c>
      <c r="T85">
        <f>HYPERLINK("https://klasma.github.io/Logging_1882/kartor/A 54592-2023 karta.png", "A 54592-2023")</f>
        <v/>
      </c>
      <c r="V85">
        <f>HYPERLINK("https://klasma.github.io/Logging_1882/klagomål/A 54592-2023 FSC-klagomål.docx", "A 54592-2023")</f>
        <v/>
      </c>
      <c r="W85">
        <f>HYPERLINK("https://klasma.github.io/Logging_1882/klagomålsmail/A 54592-2023 FSC-klagomål mail.docx", "A 54592-2023")</f>
        <v/>
      </c>
      <c r="X85">
        <f>HYPERLINK("https://klasma.github.io/Logging_1882/tillsyn/A 54592-2023 tillsynsbegäran.docx", "A 54592-2023")</f>
        <v/>
      </c>
      <c r="Y85">
        <f>HYPERLINK("https://klasma.github.io/Logging_1882/tillsynsmail/A 54592-2023 tillsynsbegäran mail.docx", "A 54592-2023")</f>
        <v/>
      </c>
      <c r="Z85">
        <f>HYPERLINK("https://klasma.github.io/Logging_1882/fåglar/A 54592-2023 prioriterade fågelarter.docx", "A 54592-2023")</f>
        <v/>
      </c>
    </row>
    <row r="86" ht="15" customHeight="1">
      <c r="A86" t="inlineStr">
        <is>
          <t>A 5354-2024</t>
        </is>
      </c>
      <c r="B86" s="1" t="n">
        <v>45331</v>
      </c>
      <c r="C86" s="1" t="n">
        <v>45952</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5354-2024 artfynd.xlsx", "A 5354-2024")</f>
        <v/>
      </c>
      <c r="T86">
        <f>HYPERLINK("https://klasma.github.io/Logging_1880/kartor/A 5354-2024 karta.png", "A 5354-2024")</f>
        <v/>
      </c>
      <c r="V86">
        <f>HYPERLINK("https://klasma.github.io/Logging_1880/klagomål/A 5354-2024 FSC-klagomål.docx", "A 5354-2024")</f>
        <v/>
      </c>
      <c r="W86">
        <f>HYPERLINK("https://klasma.github.io/Logging_1880/klagomålsmail/A 5354-2024 FSC-klagomål mail.docx", "A 5354-2024")</f>
        <v/>
      </c>
      <c r="X86">
        <f>HYPERLINK("https://klasma.github.io/Logging_1880/tillsyn/A 5354-2024 tillsynsbegäran.docx", "A 5354-2024")</f>
        <v/>
      </c>
      <c r="Y86">
        <f>HYPERLINK("https://klasma.github.io/Logging_1880/tillsynsmail/A 5354-2024 tillsynsbegäran mail.docx", "A 5354-2024")</f>
        <v/>
      </c>
    </row>
    <row r="87" ht="15" customHeight="1">
      <c r="A87" t="inlineStr">
        <is>
          <t>A 42783-2025</t>
        </is>
      </c>
      <c r="B87" s="1" t="n">
        <v>45908.51018518519</v>
      </c>
      <c r="C87" s="1" t="n">
        <v>45952</v>
      </c>
      <c r="D87" t="inlineStr">
        <is>
          <t>ÖREBRO LÄN</t>
        </is>
      </c>
      <c r="E87" t="inlineStr">
        <is>
          <t>HÄLLEFORS</t>
        </is>
      </c>
      <c r="F87" t="inlineStr">
        <is>
          <t>Bergvik skog väst AB</t>
        </is>
      </c>
      <c r="G87" t="n">
        <v>14.9</v>
      </c>
      <c r="H87" t="n">
        <v>1</v>
      </c>
      <c r="I87" t="n">
        <v>1</v>
      </c>
      <c r="J87" t="n">
        <v>3</v>
      </c>
      <c r="K87" t="n">
        <v>0</v>
      </c>
      <c r="L87" t="n">
        <v>0</v>
      </c>
      <c r="M87" t="n">
        <v>0</v>
      </c>
      <c r="N87" t="n">
        <v>0</v>
      </c>
      <c r="O87" t="n">
        <v>3</v>
      </c>
      <c r="P87" t="n">
        <v>0</v>
      </c>
      <c r="Q87" t="n">
        <v>4</v>
      </c>
      <c r="R87" s="2" t="inlineStr">
        <is>
          <t>Garnlav
Gränsticka
Tretåig hackspett
Skuggblåslav</t>
        </is>
      </c>
      <c r="S87">
        <f>HYPERLINK("https://klasma.github.io/Logging_1863/artfynd/A 42783-2025 artfynd.xlsx", "A 42783-2025")</f>
        <v/>
      </c>
      <c r="T87">
        <f>HYPERLINK("https://klasma.github.io/Logging_1863/kartor/A 42783-2025 karta.png", "A 42783-2025")</f>
        <v/>
      </c>
      <c r="V87">
        <f>HYPERLINK("https://klasma.github.io/Logging_1863/klagomål/A 42783-2025 FSC-klagomål.docx", "A 42783-2025")</f>
        <v/>
      </c>
      <c r="W87">
        <f>HYPERLINK("https://klasma.github.io/Logging_1863/klagomålsmail/A 42783-2025 FSC-klagomål mail.docx", "A 42783-2025")</f>
        <v/>
      </c>
      <c r="X87">
        <f>HYPERLINK("https://klasma.github.io/Logging_1863/tillsyn/A 42783-2025 tillsynsbegäran.docx", "A 42783-2025")</f>
        <v/>
      </c>
      <c r="Y87">
        <f>HYPERLINK("https://klasma.github.io/Logging_1863/tillsynsmail/A 42783-2025 tillsynsbegäran mail.docx", "A 42783-2025")</f>
        <v/>
      </c>
      <c r="Z87">
        <f>HYPERLINK("https://klasma.github.io/Logging_1863/fåglar/A 42783-2025 prioriterade fågelarter.docx", "A 42783-2025")</f>
        <v/>
      </c>
    </row>
    <row r="88" ht="15" customHeight="1">
      <c r="A88" t="inlineStr">
        <is>
          <t>A 44863-2023</t>
        </is>
      </c>
      <c r="B88" s="1" t="n">
        <v>45190</v>
      </c>
      <c r="C88" s="1" t="n">
        <v>45952</v>
      </c>
      <c r="D88" t="inlineStr">
        <is>
          <t>ÖREBRO LÄN</t>
        </is>
      </c>
      <c r="E88" t="inlineStr">
        <is>
          <t>HALLSBERG</t>
        </is>
      </c>
      <c r="F88" t="inlineStr">
        <is>
          <t>Allmännings- och besparingsskogar</t>
        </is>
      </c>
      <c r="G88" t="n">
        <v>12.5</v>
      </c>
      <c r="H88" t="n">
        <v>1</v>
      </c>
      <c r="I88" t="n">
        <v>3</v>
      </c>
      <c r="J88" t="n">
        <v>0</v>
      </c>
      <c r="K88" t="n">
        <v>0</v>
      </c>
      <c r="L88" t="n">
        <v>0</v>
      </c>
      <c r="M88" t="n">
        <v>0</v>
      </c>
      <c r="N88" t="n">
        <v>0</v>
      </c>
      <c r="O88" t="n">
        <v>0</v>
      </c>
      <c r="P88" t="n">
        <v>0</v>
      </c>
      <c r="Q88" t="n">
        <v>4</v>
      </c>
      <c r="R88" s="2" t="inlineStr">
        <is>
          <t>Björksplintborre
Dolkstekelsglasvinge
Strutbräken
Blåsippa</t>
        </is>
      </c>
      <c r="S88">
        <f>HYPERLINK("https://klasma.github.io/Logging_1861/artfynd/A 44863-2023 artfynd.xlsx", "A 44863-2023")</f>
        <v/>
      </c>
      <c r="T88">
        <f>HYPERLINK("https://klasma.github.io/Logging_1861/kartor/A 44863-2023 karta.png", "A 44863-2023")</f>
        <v/>
      </c>
      <c r="V88">
        <f>HYPERLINK("https://klasma.github.io/Logging_1861/klagomål/A 44863-2023 FSC-klagomål.docx", "A 44863-2023")</f>
        <v/>
      </c>
      <c r="W88">
        <f>HYPERLINK("https://klasma.github.io/Logging_1861/klagomålsmail/A 44863-2023 FSC-klagomål mail.docx", "A 44863-2023")</f>
        <v/>
      </c>
      <c r="X88">
        <f>HYPERLINK("https://klasma.github.io/Logging_1861/tillsyn/A 44863-2023 tillsynsbegäran.docx", "A 44863-2023")</f>
        <v/>
      </c>
      <c r="Y88">
        <f>HYPERLINK("https://klasma.github.io/Logging_1861/tillsynsmail/A 44863-2023 tillsynsbegäran mail.docx", "A 44863-2023")</f>
        <v/>
      </c>
    </row>
    <row r="89" ht="15" customHeight="1">
      <c r="A89" t="inlineStr">
        <is>
          <t>A 57553-2023</t>
        </is>
      </c>
      <c r="B89" s="1" t="n">
        <v>45246</v>
      </c>
      <c r="C89" s="1" t="n">
        <v>45952</v>
      </c>
      <c r="D89" t="inlineStr">
        <is>
          <t>ÖREBRO LÄN</t>
        </is>
      </c>
      <c r="E89" t="inlineStr">
        <is>
          <t>ÖREBRO</t>
        </is>
      </c>
      <c r="G89" t="n">
        <v>4.5</v>
      </c>
      <c r="H89" t="n">
        <v>4</v>
      </c>
      <c r="I89" t="n">
        <v>0</v>
      </c>
      <c r="J89" t="n">
        <v>1</v>
      </c>
      <c r="K89" t="n">
        <v>0</v>
      </c>
      <c r="L89" t="n">
        <v>0</v>
      </c>
      <c r="M89" t="n">
        <v>0</v>
      </c>
      <c r="N89" t="n">
        <v>0</v>
      </c>
      <c r="O89" t="n">
        <v>1</v>
      </c>
      <c r="P89" t="n">
        <v>0</v>
      </c>
      <c r="Q89" t="n">
        <v>4</v>
      </c>
      <c r="R89" s="2" t="inlineStr">
        <is>
          <t>Spillkråka
Gröngöling
Järnsparv
Kungsfågel</t>
        </is>
      </c>
      <c r="S89">
        <f>HYPERLINK("https://klasma.github.io/Logging_1880/artfynd/A 57553-2023 artfynd.xlsx", "A 57553-2023")</f>
        <v/>
      </c>
      <c r="T89">
        <f>HYPERLINK("https://klasma.github.io/Logging_1880/kartor/A 57553-2023 karta.png", "A 57553-2023")</f>
        <v/>
      </c>
      <c r="V89">
        <f>HYPERLINK("https://klasma.github.io/Logging_1880/klagomål/A 57553-2023 FSC-klagomål.docx", "A 57553-2023")</f>
        <v/>
      </c>
      <c r="W89">
        <f>HYPERLINK("https://klasma.github.io/Logging_1880/klagomålsmail/A 57553-2023 FSC-klagomål mail.docx", "A 57553-2023")</f>
        <v/>
      </c>
      <c r="X89">
        <f>HYPERLINK("https://klasma.github.io/Logging_1880/tillsyn/A 57553-2023 tillsynsbegäran.docx", "A 57553-2023")</f>
        <v/>
      </c>
      <c r="Y89">
        <f>HYPERLINK("https://klasma.github.io/Logging_1880/tillsynsmail/A 57553-2023 tillsynsbegäran mail.docx", "A 57553-2023")</f>
        <v/>
      </c>
      <c r="Z89">
        <f>HYPERLINK("https://klasma.github.io/Logging_1880/fåglar/A 57553-2023 prioriterade fågelarter.docx", "A 57553-2023")</f>
        <v/>
      </c>
    </row>
    <row r="90" ht="15" customHeight="1">
      <c r="A90" t="inlineStr">
        <is>
          <t>A 43996-2021</t>
        </is>
      </c>
      <c r="B90" s="1" t="n">
        <v>44434</v>
      </c>
      <c r="C90" s="1" t="n">
        <v>45952</v>
      </c>
      <c r="D90" t="inlineStr">
        <is>
          <t>ÖREBRO LÄN</t>
        </is>
      </c>
      <c r="E90" t="inlineStr">
        <is>
          <t>LJUSNARSBERG</t>
        </is>
      </c>
      <c r="F90" t="inlineStr">
        <is>
          <t>Bergvik skog väst AB</t>
        </is>
      </c>
      <c r="G90" t="n">
        <v>8.4</v>
      </c>
      <c r="H90" t="n">
        <v>3</v>
      </c>
      <c r="I90" t="n">
        <v>1</v>
      </c>
      <c r="J90" t="n">
        <v>0</v>
      </c>
      <c r="K90" t="n">
        <v>0</v>
      </c>
      <c r="L90" t="n">
        <v>0</v>
      </c>
      <c r="M90" t="n">
        <v>0</v>
      </c>
      <c r="N90" t="n">
        <v>0</v>
      </c>
      <c r="O90" t="n">
        <v>0</v>
      </c>
      <c r="P90" t="n">
        <v>0</v>
      </c>
      <c r="Q90" t="n">
        <v>3</v>
      </c>
      <c r="R90" s="2" t="inlineStr">
        <is>
          <t>Tvåblad
Fläcknycklar
Nattviol</t>
        </is>
      </c>
      <c r="S90">
        <f>HYPERLINK("https://klasma.github.io/Logging_1864/artfynd/A 43996-2021 artfynd.xlsx", "A 43996-2021")</f>
        <v/>
      </c>
      <c r="T90">
        <f>HYPERLINK("https://klasma.github.io/Logging_1864/kartor/A 43996-2021 karta.png", "A 43996-2021")</f>
        <v/>
      </c>
      <c r="V90">
        <f>HYPERLINK("https://klasma.github.io/Logging_1864/klagomål/A 43996-2021 FSC-klagomål.docx", "A 43996-2021")</f>
        <v/>
      </c>
      <c r="W90">
        <f>HYPERLINK("https://klasma.github.io/Logging_1864/klagomålsmail/A 43996-2021 FSC-klagomål mail.docx", "A 43996-2021")</f>
        <v/>
      </c>
      <c r="X90">
        <f>HYPERLINK("https://klasma.github.io/Logging_1864/tillsyn/A 43996-2021 tillsynsbegäran.docx", "A 43996-2021")</f>
        <v/>
      </c>
      <c r="Y90">
        <f>HYPERLINK("https://klasma.github.io/Logging_1864/tillsynsmail/A 43996-2021 tillsynsbegäran mail.docx", "A 43996-2021")</f>
        <v/>
      </c>
    </row>
    <row r="91" ht="15" customHeight="1">
      <c r="A91" t="inlineStr">
        <is>
          <t>A 32709-2021</t>
        </is>
      </c>
      <c r="B91" s="1" t="n">
        <v>44375</v>
      </c>
      <c r="C91" s="1" t="n">
        <v>45952</v>
      </c>
      <c r="D91" t="inlineStr">
        <is>
          <t>ÖREBRO LÄN</t>
        </is>
      </c>
      <c r="E91" t="inlineStr">
        <is>
          <t>ASKERSUND</t>
        </is>
      </c>
      <c r="F91" t="inlineStr">
        <is>
          <t>Sveaskog</t>
        </is>
      </c>
      <c r="G91" t="n">
        <v>6.8</v>
      </c>
      <c r="H91" t="n">
        <v>1</v>
      </c>
      <c r="I91" t="n">
        <v>1</v>
      </c>
      <c r="J91" t="n">
        <v>1</v>
      </c>
      <c r="K91" t="n">
        <v>0</v>
      </c>
      <c r="L91" t="n">
        <v>0</v>
      </c>
      <c r="M91" t="n">
        <v>0</v>
      </c>
      <c r="N91" t="n">
        <v>0</v>
      </c>
      <c r="O91" t="n">
        <v>1</v>
      </c>
      <c r="P91" t="n">
        <v>0</v>
      </c>
      <c r="Q91" t="n">
        <v>3</v>
      </c>
      <c r="R91" s="2" t="inlineStr">
        <is>
          <t>Skogsklocka
Vätteros
Blåsippa</t>
        </is>
      </c>
      <c r="S91">
        <f>HYPERLINK("https://klasma.github.io/Logging_1882/artfynd/A 32709-2021 artfynd.xlsx", "A 32709-2021")</f>
        <v/>
      </c>
      <c r="T91">
        <f>HYPERLINK("https://klasma.github.io/Logging_1882/kartor/A 32709-2021 karta.png", "A 32709-2021")</f>
        <v/>
      </c>
      <c r="V91">
        <f>HYPERLINK("https://klasma.github.io/Logging_1882/klagomål/A 32709-2021 FSC-klagomål.docx", "A 32709-2021")</f>
        <v/>
      </c>
      <c r="W91">
        <f>HYPERLINK("https://klasma.github.io/Logging_1882/klagomålsmail/A 32709-2021 FSC-klagomål mail.docx", "A 32709-2021")</f>
        <v/>
      </c>
      <c r="X91">
        <f>HYPERLINK("https://klasma.github.io/Logging_1882/tillsyn/A 32709-2021 tillsynsbegäran.docx", "A 32709-2021")</f>
        <v/>
      </c>
      <c r="Y91">
        <f>HYPERLINK("https://klasma.github.io/Logging_1882/tillsynsmail/A 32709-2021 tillsynsbegäran mail.docx", "A 32709-2021")</f>
        <v/>
      </c>
    </row>
    <row r="92" ht="15" customHeight="1">
      <c r="A92" t="inlineStr">
        <is>
          <t>A 29487-2022</t>
        </is>
      </c>
      <c r="B92" s="1" t="n">
        <v>44753</v>
      </c>
      <c r="C92" s="1" t="n">
        <v>45952</v>
      </c>
      <c r="D92" t="inlineStr">
        <is>
          <t>ÖREBRO LÄN</t>
        </is>
      </c>
      <c r="E92" t="inlineStr">
        <is>
          <t>ÖREBRO</t>
        </is>
      </c>
      <c r="F92" t="inlineStr">
        <is>
          <t>Kommuner</t>
        </is>
      </c>
      <c r="G92" t="n">
        <v>0.7</v>
      </c>
      <c r="H92" t="n">
        <v>0</v>
      </c>
      <c r="I92" t="n">
        <v>2</v>
      </c>
      <c r="J92" t="n">
        <v>1</v>
      </c>
      <c r="K92" t="n">
        <v>0</v>
      </c>
      <c r="L92" t="n">
        <v>0</v>
      </c>
      <c r="M92" t="n">
        <v>0</v>
      </c>
      <c r="N92" t="n">
        <v>0</v>
      </c>
      <c r="O92" t="n">
        <v>1</v>
      </c>
      <c r="P92" t="n">
        <v>0</v>
      </c>
      <c r="Q92" t="n">
        <v>3</v>
      </c>
      <c r="R92" s="2" t="inlineStr">
        <is>
          <t>Svartvit taggsvamp
Fjällig taggsvamp s.str.
Rödgul trumpetsvamp</t>
        </is>
      </c>
      <c r="S92">
        <f>HYPERLINK("https://klasma.github.io/Logging_1880/artfynd/A 29487-2022 artfynd.xlsx", "A 29487-2022")</f>
        <v/>
      </c>
      <c r="T92">
        <f>HYPERLINK("https://klasma.github.io/Logging_1880/kartor/A 29487-2022 karta.png", "A 29487-2022")</f>
        <v/>
      </c>
      <c r="V92">
        <f>HYPERLINK("https://klasma.github.io/Logging_1880/klagomål/A 29487-2022 FSC-klagomål.docx", "A 29487-2022")</f>
        <v/>
      </c>
      <c r="W92">
        <f>HYPERLINK("https://klasma.github.io/Logging_1880/klagomålsmail/A 29487-2022 FSC-klagomål mail.docx", "A 29487-2022")</f>
        <v/>
      </c>
      <c r="X92">
        <f>HYPERLINK("https://klasma.github.io/Logging_1880/tillsyn/A 29487-2022 tillsynsbegäran.docx", "A 29487-2022")</f>
        <v/>
      </c>
      <c r="Y92">
        <f>HYPERLINK("https://klasma.github.io/Logging_1880/tillsynsmail/A 29487-2022 tillsynsbegäran mail.docx", "A 29487-2022")</f>
        <v/>
      </c>
    </row>
    <row r="93" ht="15" customHeight="1">
      <c r="A93" t="inlineStr">
        <is>
          <t>A 57298-2020</t>
        </is>
      </c>
      <c r="B93" s="1" t="n">
        <v>44139</v>
      </c>
      <c r="C93" s="1" t="n">
        <v>45952</v>
      </c>
      <c r="D93" t="inlineStr">
        <is>
          <t>ÖREBRO LÄN</t>
        </is>
      </c>
      <c r="E93" t="inlineStr">
        <is>
          <t>KARLSKOGA</t>
        </is>
      </c>
      <c r="F93" t="inlineStr">
        <is>
          <t>Sveaskog</t>
        </is>
      </c>
      <c r="G93" t="n">
        <v>5.6</v>
      </c>
      <c r="H93" t="n">
        <v>1</v>
      </c>
      <c r="I93" t="n">
        <v>1</v>
      </c>
      <c r="J93" t="n">
        <v>0</v>
      </c>
      <c r="K93" t="n">
        <v>1</v>
      </c>
      <c r="L93" t="n">
        <v>0</v>
      </c>
      <c r="M93" t="n">
        <v>0</v>
      </c>
      <c r="N93" t="n">
        <v>0</v>
      </c>
      <c r="O93" t="n">
        <v>1</v>
      </c>
      <c r="P93" t="n">
        <v>1</v>
      </c>
      <c r="Q93" t="n">
        <v>3</v>
      </c>
      <c r="R93" s="2" t="inlineStr">
        <is>
          <t>Norsk näverlav
Stor revmossa
Tjäder</t>
        </is>
      </c>
      <c r="S93">
        <f>HYPERLINK("https://klasma.github.io/Logging_1883/artfynd/A 57298-2020 artfynd.xlsx", "A 57298-2020")</f>
        <v/>
      </c>
      <c r="T93">
        <f>HYPERLINK("https://klasma.github.io/Logging_1883/kartor/A 57298-2020 karta.png", "A 57298-2020")</f>
        <v/>
      </c>
      <c r="V93">
        <f>HYPERLINK("https://klasma.github.io/Logging_1883/klagomål/A 57298-2020 FSC-klagomål.docx", "A 57298-2020")</f>
        <v/>
      </c>
      <c r="W93">
        <f>HYPERLINK("https://klasma.github.io/Logging_1883/klagomålsmail/A 57298-2020 FSC-klagomål mail.docx", "A 57298-2020")</f>
        <v/>
      </c>
      <c r="X93">
        <f>HYPERLINK("https://klasma.github.io/Logging_1883/tillsyn/A 57298-2020 tillsynsbegäran.docx", "A 57298-2020")</f>
        <v/>
      </c>
      <c r="Y93">
        <f>HYPERLINK("https://klasma.github.io/Logging_1883/tillsynsmail/A 57298-2020 tillsynsbegäran mail.docx", "A 57298-2020")</f>
        <v/>
      </c>
      <c r="Z93">
        <f>HYPERLINK("https://klasma.github.io/Logging_1883/fåglar/A 57298-2020 prioriterade fågelarter.docx", "A 57298-2020")</f>
        <v/>
      </c>
    </row>
    <row r="94" ht="15" customHeight="1">
      <c r="A94" t="inlineStr">
        <is>
          <t>A 20238-2021</t>
        </is>
      </c>
      <c r="B94" s="1" t="n">
        <v>44314</v>
      </c>
      <c r="C94" s="1" t="n">
        <v>45952</v>
      </c>
      <c r="D94" t="inlineStr">
        <is>
          <t>ÖREBRO LÄN</t>
        </is>
      </c>
      <c r="E94" t="inlineStr">
        <is>
          <t>HÄLLEFORS</t>
        </is>
      </c>
      <c r="F94" t="inlineStr">
        <is>
          <t>Sveaskog</t>
        </is>
      </c>
      <c r="G94" t="n">
        <v>1.7</v>
      </c>
      <c r="H94" t="n">
        <v>2</v>
      </c>
      <c r="I94" t="n">
        <v>1</v>
      </c>
      <c r="J94" t="n">
        <v>2</v>
      </c>
      <c r="K94" t="n">
        <v>0</v>
      </c>
      <c r="L94" t="n">
        <v>0</v>
      </c>
      <c r="M94" t="n">
        <v>0</v>
      </c>
      <c r="N94" t="n">
        <v>0</v>
      </c>
      <c r="O94" t="n">
        <v>2</v>
      </c>
      <c r="P94" t="n">
        <v>0</v>
      </c>
      <c r="Q94" t="n">
        <v>3</v>
      </c>
      <c r="R94" s="2" t="inlineStr">
        <is>
          <t>Mindre hackspett
Talltita
Stuplav</t>
        </is>
      </c>
      <c r="S94">
        <f>HYPERLINK("https://klasma.github.io/Logging_1863/artfynd/A 20238-2021 artfynd.xlsx", "A 20238-2021")</f>
        <v/>
      </c>
      <c r="T94">
        <f>HYPERLINK("https://klasma.github.io/Logging_1863/kartor/A 20238-2021 karta.png", "A 20238-2021")</f>
        <v/>
      </c>
      <c r="V94">
        <f>HYPERLINK("https://klasma.github.io/Logging_1863/klagomål/A 20238-2021 FSC-klagomål.docx", "A 20238-2021")</f>
        <v/>
      </c>
      <c r="W94">
        <f>HYPERLINK("https://klasma.github.io/Logging_1863/klagomålsmail/A 20238-2021 FSC-klagomål mail.docx", "A 20238-2021")</f>
        <v/>
      </c>
      <c r="X94">
        <f>HYPERLINK("https://klasma.github.io/Logging_1863/tillsyn/A 20238-2021 tillsynsbegäran.docx", "A 20238-2021")</f>
        <v/>
      </c>
      <c r="Y94">
        <f>HYPERLINK("https://klasma.github.io/Logging_1863/tillsynsmail/A 20238-2021 tillsynsbegäran mail.docx", "A 20238-2021")</f>
        <v/>
      </c>
      <c r="Z94">
        <f>HYPERLINK("https://klasma.github.io/Logging_1863/fåglar/A 20238-2021 prioriterade fågelarter.docx", "A 20238-2021")</f>
        <v/>
      </c>
    </row>
    <row r="95" ht="15" customHeight="1">
      <c r="A95" t="inlineStr">
        <is>
          <t>A 20838-2021</t>
        </is>
      </c>
      <c r="B95" s="1" t="n">
        <v>44319</v>
      </c>
      <c r="C95" s="1" t="n">
        <v>45952</v>
      </c>
      <c r="D95" t="inlineStr">
        <is>
          <t>ÖREBRO LÄN</t>
        </is>
      </c>
      <c r="E95" t="inlineStr">
        <is>
          <t>ÖREBRO</t>
        </is>
      </c>
      <c r="G95" t="n">
        <v>1.9</v>
      </c>
      <c r="H95" t="n">
        <v>0</v>
      </c>
      <c r="I95" t="n">
        <v>3</v>
      </c>
      <c r="J95" t="n">
        <v>0</v>
      </c>
      <c r="K95" t="n">
        <v>0</v>
      </c>
      <c r="L95" t="n">
        <v>0</v>
      </c>
      <c r="M95" t="n">
        <v>0</v>
      </c>
      <c r="N95" t="n">
        <v>0</v>
      </c>
      <c r="O95" t="n">
        <v>0</v>
      </c>
      <c r="P95" t="n">
        <v>0</v>
      </c>
      <c r="Q95" t="n">
        <v>3</v>
      </c>
      <c r="R95" s="2" t="inlineStr">
        <is>
          <t>Fjällig taggsvamp s.str.
Rödgul trumpetsvamp
Toppvaxing</t>
        </is>
      </c>
      <c r="S95">
        <f>HYPERLINK("https://klasma.github.io/Logging_1880/artfynd/A 20838-2021 artfynd.xlsx", "A 20838-2021")</f>
        <v/>
      </c>
      <c r="T95">
        <f>HYPERLINK("https://klasma.github.io/Logging_1880/kartor/A 20838-2021 karta.png", "A 20838-2021")</f>
        <v/>
      </c>
      <c r="V95">
        <f>HYPERLINK("https://klasma.github.io/Logging_1880/klagomål/A 20838-2021 FSC-klagomål.docx", "A 20838-2021")</f>
        <v/>
      </c>
      <c r="W95">
        <f>HYPERLINK("https://klasma.github.io/Logging_1880/klagomålsmail/A 20838-2021 FSC-klagomål mail.docx", "A 20838-2021")</f>
        <v/>
      </c>
      <c r="X95">
        <f>HYPERLINK("https://klasma.github.io/Logging_1880/tillsyn/A 20838-2021 tillsynsbegäran.docx", "A 20838-2021")</f>
        <v/>
      </c>
      <c r="Y95">
        <f>HYPERLINK("https://klasma.github.io/Logging_1880/tillsynsmail/A 20838-2021 tillsynsbegäran mail.docx", "A 20838-2021")</f>
        <v/>
      </c>
    </row>
    <row r="96" ht="15" customHeight="1">
      <c r="A96" t="inlineStr">
        <is>
          <t>A 60537-2020</t>
        </is>
      </c>
      <c r="B96" s="1" t="n">
        <v>44153</v>
      </c>
      <c r="C96" s="1" t="n">
        <v>45952</v>
      </c>
      <c r="D96" t="inlineStr">
        <is>
          <t>ÖREBRO LÄN</t>
        </is>
      </c>
      <c r="E96" t="inlineStr">
        <is>
          <t>ASKERSUND</t>
        </is>
      </c>
      <c r="G96" t="n">
        <v>8.699999999999999</v>
      </c>
      <c r="H96" t="n">
        <v>2</v>
      </c>
      <c r="I96" t="n">
        <v>0</v>
      </c>
      <c r="J96" t="n">
        <v>3</v>
      </c>
      <c r="K96" t="n">
        <v>0</v>
      </c>
      <c r="L96" t="n">
        <v>0</v>
      </c>
      <c r="M96" t="n">
        <v>0</v>
      </c>
      <c r="N96" t="n">
        <v>0</v>
      </c>
      <c r="O96" t="n">
        <v>3</v>
      </c>
      <c r="P96" t="n">
        <v>0</v>
      </c>
      <c r="Q96" t="n">
        <v>3</v>
      </c>
      <c r="R96" s="2" t="inlineStr">
        <is>
          <t>Gropticka
Spillkråka
Talltita</t>
        </is>
      </c>
      <c r="S96">
        <f>HYPERLINK("https://klasma.github.io/Logging_1882/artfynd/A 60537-2020 artfynd.xlsx", "A 60537-2020")</f>
        <v/>
      </c>
      <c r="T96">
        <f>HYPERLINK("https://klasma.github.io/Logging_1882/kartor/A 60537-2020 karta.png", "A 60537-2020")</f>
        <v/>
      </c>
      <c r="V96">
        <f>HYPERLINK("https://klasma.github.io/Logging_1882/klagomål/A 60537-2020 FSC-klagomål.docx", "A 60537-2020")</f>
        <v/>
      </c>
      <c r="W96">
        <f>HYPERLINK("https://klasma.github.io/Logging_1882/klagomålsmail/A 60537-2020 FSC-klagomål mail.docx", "A 60537-2020")</f>
        <v/>
      </c>
      <c r="X96">
        <f>HYPERLINK("https://klasma.github.io/Logging_1882/tillsyn/A 60537-2020 tillsynsbegäran.docx", "A 60537-2020")</f>
        <v/>
      </c>
      <c r="Y96">
        <f>HYPERLINK("https://klasma.github.io/Logging_1882/tillsynsmail/A 60537-2020 tillsynsbegäran mail.docx", "A 60537-2020")</f>
        <v/>
      </c>
      <c r="Z96">
        <f>HYPERLINK("https://klasma.github.io/Logging_1882/fåglar/A 60537-2020 prioriterade fågelarter.docx", "A 60537-2020")</f>
        <v/>
      </c>
    </row>
    <row r="97" ht="15" customHeight="1">
      <c r="A97" t="inlineStr">
        <is>
          <t>A 5042-2022</t>
        </is>
      </c>
      <c r="B97" s="1" t="n">
        <v>44593.67902777778</v>
      </c>
      <c r="C97" s="1" t="n">
        <v>45952</v>
      </c>
      <c r="D97" t="inlineStr">
        <is>
          <t>ÖREBRO LÄN</t>
        </is>
      </c>
      <c r="E97" t="inlineStr">
        <is>
          <t>HALLSBERG</t>
        </is>
      </c>
      <c r="F97" t="inlineStr">
        <is>
          <t>Allmännings- och besparingsskogar</t>
        </is>
      </c>
      <c r="G97" t="n">
        <v>11.9</v>
      </c>
      <c r="H97" t="n">
        <v>2</v>
      </c>
      <c r="I97" t="n">
        <v>1</v>
      </c>
      <c r="J97" t="n">
        <v>0</v>
      </c>
      <c r="K97" t="n">
        <v>0</v>
      </c>
      <c r="L97" t="n">
        <v>0</v>
      </c>
      <c r="M97" t="n">
        <v>0</v>
      </c>
      <c r="N97" t="n">
        <v>0</v>
      </c>
      <c r="O97" t="n">
        <v>0</v>
      </c>
      <c r="P97" t="n">
        <v>0</v>
      </c>
      <c r="Q97" t="n">
        <v>3</v>
      </c>
      <c r="R97" s="2" t="inlineStr">
        <is>
          <t>Vågbandad barkbock
Fläcknycklar
Revlummer</t>
        </is>
      </c>
      <c r="S97">
        <f>HYPERLINK("https://klasma.github.io/Logging_1861/artfynd/A 5042-2022 artfynd.xlsx", "A 5042-2022")</f>
        <v/>
      </c>
      <c r="T97">
        <f>HYPERLINK("https://klasma.github.io/Logging_1861/kartor/A 5042-2022 karta.png", "A 5042-2022")</f>
        <v/>
      </c>
      <c r="V97">
        <f>HYPERLINK("https://klasma.github.io/Logging_1861/klagomål/A 5042-2022 FSC-klagomål.docx", "A 5042-2022")</f>
        <v/>
      </c>
      <c r="W97">
        <f>HYPERLINK("https://klasma.github.io/Logging_1861/klagomålsmail/A 5042-2022 FSC-klagomål mail.docx", "A 5042-2022")</f>
        <v/>
      </c>
      <c r="X97">
        <f>HYPERLINK("https://klasma.github.io/Logging_1861/tillsyn/A 5042-2022 tillsynsbegäran.docx", "A 5042-2022")</f>
        <v/>
      </c>
      <c r="Y97">
        <f>HYPERLINK("https://klasma.github.io/Logging_1861/tillsynsmail/A 5042-2022 tillsynsbegäran mail.docx", "A 5042-2022")</f>
        <v/>
      </c>
    </row>
    <row r="98" ht="15" customHeight="1">
      <c r="A98" t="inlineStr">
        <is>
          <t>A 57803-2021</t>
        </is>
      </c>
      <c r="B98" s="1" t="n">
        <v>44484</v>
      </c>
      <c r="C98" s="1" t="n">
        <v>45952</v>
      </c>
      <c r="D98" t="inlineStr">
        <is>
          <t>ÖREBRO LÄN</t>
        </is>
      </c>
      <c r="E98" t="inlineStr">
        <is>
          <t>LINDESBERG</t>
        </is>
      </c>
      <c r="G98" t="n">
        <v>9.4</v>
      </c>
      <c r="H98" t="n">
        <v>2</v>
      </c>
      <c r="I98" t="n">
        <v>0</v>
      </c>
      <c r="J98" t="n">
        <v>2</v>
      </c>
      <c r="K98" t="n">
        <v>0</v>
      </c>
      <c r="L98" t="n">
        <v>0</v>
      </c>
      <c r="M98" t="n">
        <v>0</v>
      </c>
      <c r="N98" t="n">
        <v>0</v>
      </c>
      <c r="O98" t="n">
        <v>2</v>
      </c>
      <c r="P98" t="n">
        <v>0</v>
      </c>
      <c r="Q98" t="n">
        <v>3</v>
      </c>
      <c r="R98" s="2" t="inlineStr">
        <is>
          <t>Motaggsvamp
Talltita
Tjäder</t>
        </is>
      </c>
      <c r="S98">
        <f>HYPERLINK("https://klasma.github.io/Logging_1885/artfynd/A 57803-2021 artfynd.xlsx", "A 57803-2021")</f>
        <v/>
      </c>
      <c r="T98">
        <f>HYPERLINK("https://klasma.github.io/Logging_1885/kartor/A 57803-2021 karta.png", "A 57803-2021")</f>
        <v/>
      </c>
      <c r="V98">
        <f>HYPERLINK("https://klasma.github.io/Logging_1885/klagomål/A 57803-2021 FSC-klagomål.docx", "A 57803-2021")</f>
        <v/>
      </c>
      <c r="W98">
        <f>HYPERLINK("https://klasma.github.io/Logging_1885/klagomålsmail/A 57803-2021 FSC-klagomål mail.docx", "A 57803-2021")</f>
        <v/>
      </c>
      <c r="X98">
        <f>HYPERLINK("https://klasma.github.io/Logging_1885/tillsyn/A 57803-2021 tillsynsbegäran.docx", "A 57803-2021")</f>
        <v/>
      </c>
      <c r="Y98">
        <f>HYPERLINK("https://klasma.github.io/Logging_1885/tillsynsmail/A 57803-2021 tillsynsbegäran mail.docx", "A 57803-2021")</f>
        <v/>
      </c>
      <c r="Z98">
        <f>HYPERLINK("https://klasma.github.io/Logging_1885/fåglar/A 57803-2021 prioriterade fågelarter.docx", "A 57803-2021")</f>
        <v/>
      </c>
    </row>
    <row r="99" ht="15" customHeight="1">
      <c r="A99" t="inlineStr">
        <is>
          <t>A 49813-2023</t>
        </is>
      </c>
      <c r="B99" s="1" t="n">
        <v>45212</v>
      </c>
      <c r="C99" s="1" t="n">
        <v>45952</v>
      </c>
      <c r="D99" t="inlineStr">
        <is>
          <t>ÖREBRO LÄN</t>
        </is>
      </c>
      <c r="E99" t="inlineStr">
        <is>
          <t>ASKERSUND</t>
        </is>
      </c>
      <c r="G99" t="n">
        <v>4.7</v>
      </c>
      <c r="H99" t="n">
        <v>1</v>
      </c>
      <c r="I99" t="n">
        <v>1</v>
      </c>
      <c r="J99" t="n">
        <v>1</v>
      </c>
      <c r="K99" t="n">
        <v>0</v>
      </c>
      <c r="L99" t="n">
        <v>0</v>
      </c>
      <c r="M99" t="n">
        <v>0</v>
      </c>
      <c r="N99" t="n">
        <v>0</v>
      </c>
      <c r="O99" t="n">
        <v>1</v>
      </c>
      <c r="P99" t="n">
        <v>0</v>
      </c>
      <c r="Q99" t="n">
        <v>3</v>
      </c>
      <c r="R99" s="2" t="inlineStr">
        <is>
          <t>Motaggsvamp
Björksplintborre
Mattlummer</t>
        </is>
      </c>
      <c r="S99">
        <f>HYPERLINK("https://klasma.github.io/Logging_1882/artfynd/A 49813-2023 artfynd.xlsx", "A 49813-2023")</f>
        <v/>
      </c>
      <c r="T99">
        <f>HYPERLINK("https://klasma.github.io/Logging_1882/kartor/A 49813-2023 karta.png", "A 49813-2023")</f>
        <v/>
      </c>
      <c r="V99">
        <f>HYPERLINK("https://klasma.github.io/Logging_1882/klagomål/A 49813-2023 FSC-klagomål.docx", "A 49813-2023")</f>
        <v/>
      </c>
      <c r="W99">
        <f>HYPERLINK("https://klasma.github.io/Logging_1882/klagomålsmail/A 49813-2023 FSC-klagomål mail.docx", "A 49813-2023")</f>
        <v/>
      </c>
      <c r="X99">
        <f>HYPERLINK("https://klasma.github.io/Logging_1882/tillsyn/A 49813-2023 tillsynsbegäran.docx", "A 49813-2023")</f>
        <v/>
      </c>
      <c r="Y99">
        <f>HYPERLINK("https://klasma.github.io/Logging_1882/tillsynsmail/A 49813-2023 tillsynsbegäran mail.docx", "A 49813-2023")</f>
        <v/>
      </c>
    </row>
    <row r="100" ht="15" customHeight="1">
      <c r="A100" t="inlineStr">
        <is>
          <t>A 17812-2025</t>
        </is>
      </c>
      <c r="B100" s="1" t="n">
        <v>45758.56012731481</v>
      </c>
      <c r="C100" s="1" t="n">
        <v>45952</v>
      </c>
      <c r="D100" t="inlineStr">
        <is>
          <t>ÖREBRO LÄN</t>
        </is>
      </c>
      <c r="E100" t="inlineStr">
        <is>
          <t>HÄLLEFORS</t>
        </is>
      </c>
      <c r="F100" t="inlineStr">
        <is>
          <t>Sveaskog</t>
        </is>
      </c>
      <c r="G100" t="n">
        <v>1.8</v>
      </c>
      <c r="H100" t="n">
        <v>2</v>
      </c>
      <c r="I100" t="n">
        <v>1</v>
      </c>
      <c r="J100" t="n">
        <v>2</v>
      </c>
      <c r="K100" t="n">
        <v>0</v>
      </c>
      <c r="L100" t="n">
        <v>0</v>
      </c>
      <c r="M100" t="n">
        <v>0</v>
      </c>
      <c r="N100" t="n">
        <v>0</v>
      </c>
      <c r="O100" t="n">
        <v>2</v>
      </c>
      <c r="P100" t="n">
        <v>0</v>
      </c>
      <c r="Q100" t="n">
        <v>3</v>
      </c>
      <c r="R100" s="2" t="inlineStr">
        <is>
          <t>Mindre hackspett
Talltita
Stuplav</t>
        </is>
      </c>
      <c r="S100">
        <f>HYPERLINK("https://klasma.github.io/Logging_1863/artfynd/A 17812-2025 artfynd.xlsx", "A 17812-2025")</f>
        <v/>
      </c>
      <c r="T100">
        <f>HYPERLINK("https://klasma.github.io/Logging_1863/kartor/A 17812-2025 karta.png", "A 17812-2025")</f>
        <v/>
      </c>
      <c r="V100">
        <f>HYPERLINK("https://klasma.github.io/Logging_1863/klagomål/A 17812-2025 FSC-klagomål.docx", "A 17812-2025")</f>
        <v/>
      </c>
      <c r="W100">
        <f>HYPERLINK("https://klasma.github.io/Logging_1863/klagomålsmail/A 17812-2025 FSC-klagomål mail.docx", "A 17812-2025")</f>
        <v/>
      </c>
      <c r="X100">
        <f>HYPERLINK("https://klasma.github.io/Logging_1863/tillsyn/A 17812-2025 tillsynsbegäran.docx", "A 17812-2025")</f>
        <v/>
      </c>
      <c r="Y100">
        <f>HYPERLINK("https://klasma.github.io/Logging_1863/tillsynsmail/A 17812-2025 tillsynsbegäran mail.docx", "A 17812-2025")</f>
        <v/>
      </c>
      <c r="Z100">
        <f>HYPERLINK("https://klasma.github.io/Logging_1863/fåglar/A 17812-2025 prioriterade fågelarter.docx", "A 17812-2025")</f>
        <v/>
      </c>
    </row>
    <row r="101" ht="15" customHeight="1">
      <c r="A101" t="inlineStr">
        <is>
          <t>A 17970-2022</t>
        </is>
      </c>
      <c r="B101" s="1" t="n">
        <v>44683</v>
      </c>
      <c r="C101" s="1" t="n">
        <v>45952</v>
      </c>
      <c r="D101" t="inlineStr">
        <is>
          <t>ÖREBRO LÄN</t>
        </is>
      </c>
      <c r="E101" t="inlineStr">
        <is>
          <t>HALLSBERG</t>
        </is>
      </c>
      <c r="G101" t="n">
        <v>2.7</v>
      </c>
      <c r="H101" t="n">
        <v>2</v>
      </c>
      <c r="I101" t="n">
        <v>0</v>
      </c>
      <c r="J101" t="n">
        <v>2</v>
      </c>
      <c r="K101" t="n">
        <v>0</v>
      </c>
      <c r="L101" t="n">
        <v>0</v>
      </c>
      <c r="M101" t="n">
        <v>0</v>
      </c>
      <c r="N101" t="n">
        <v>0</v>
      </c>
      <c r="O101" t="n">
        <v>2</v>
      </c>
      <c r="P101" t="n">
        <v>0</v>
      </c>
      <c r="Q101" t="n">
        <v>3</v>
      </c>
      <c r="R101" s="2" t="inlineStr">
        <is>
          <t>Reliktbock
Spillkråka
Blåsippa</t>
        </is>
      </c>
      <c r="S101">
        <f>HYPERLINK("https://klasma.github.io/Logging_1861/artfynd/A 17970-2022 artfynd.xlsx", "A 17970-2022")</f>
        <v/>
      </c>
      <c r="T101">
        <f>HYPERLINK("https://klasma.github.io/Logging_1861/kartor/A 17970-2022 karta.png", "A 17970-2022")</f>
        <v/>
      </c>
      <c r="V101">
        <f>HYPERLINK("https://klasma.github.io/Logging_1861/klagomål/A 17970-2022 FSC-klagomål.docx", "A 17970-2022")</f>
        <v/>
      </c>
      <c r="W101">
        <f>HYPERLINK("https://klasma.github.io/Logging_1861/klagomålsmail/A 17970-2022 FSC-klagomål mail.docx", "A 17970-2022")</f>
        <v/>
      </c>
      <c r="X101">
        <f>HYPERLINK("https://klasma.github.io/Logging_1861/tillsyn/A 17970-2022 tillsynsbegäran.docx", "A 17970-2022")</f>
        <v/>
      </c>
      <c r="Y101">
        <f>HYPERLINK("https://klasma.github.io/Logging_1861/tillsynsmail/A 17970-2022 tillsynsbegäran mail.docx", "A 17970-2022")</f>
        <v/>
      </c>
      <c r="Z101">
        <f>HYPERLINK("https://klasma.github.io/Logging_1861/fåglar/A 17970-2022 prioriterade fågelarter.docx", "A 17970-2022")</f>
        <v/>
      </c>
    </row>
    <row r="102" ht="15" customHeight="1">
      <c r="A102" t="inlineStr">
        <is>
          <t>A 575-2024</t>
        </is>
      </c>
      <c r="B102" s="1" t="n">
        <v>45299</v>
      </c>
      <c r="C102" s="1" t="n">
        <v>45952</v>
      </c>
      <c r="D102" t="inlineStr">
        <is>
          <t>ÖREBRO LÄN</t>
        </is>
      </c>
      <c r="E102" t="inlineStr">
        <is>
          <t>ÖREBRO</t>
        </is>
      </c>
      <c r="F102" t="inlineStr">
        <is>
          <t>Övriga Aktiebolag</t>
        </is>
      </c>
      <c r="G102" t="n">
        <v>1.1</v>
      </c>
      <c r="H102" t="n">
        <v>3</v>
      </c>
      <c r="I102" t="n">
        <v>0</v>
      </c>
      <c r="J102" t="n">
        <v>2</v>
      </c>
      <c r="K102" t="n">
        <v>0</v>
      </c>
      <c r="L102" t="n">
        <v>0</v>
      </c>
      <c r="M102" t="n">
        <v>0</v>
      </c>
      <c r="N102" t="n">
        <v>0</v>
      </c>
      <c r="O102" t="n">
        <v>2</v>
      </c>
      <c r="P102" t="n">
        <v>0</v>
      </c>
      <c r="Q102" t="n">
        <v>3</v>
      </c>
      <c r="R102" s="2" t="inlineStr">
        <is>
          <t>Grönsångare
Rödvingetrast
Kungsfågel</t>
        </is>
      </c>
      <c r="S102">
        <f>HYPERLINK("https://klasma.github.io/Logging_1880/artfynd/A 575-2024 artfynd.xlsx", "A 575-2024")</f>
        <v/>
      </c>
      <c r="T102">
        <f>HYPERLINK("https://klasma.github.io/Logging_1880/kartor/A 575-2024 karta.png", "A 575-2024")</f>
        <v/>
      </c>
      <c r="V102">
        <f>HYPERLINK("https://klasma.github.io/Logging_1880/klagomål/A 575-2024 FSC-klagomål.docx", "A 575-2024")</f>
        <v/>
      </c>
      <c r="W102">
        <f>HYPERLINK("https://klasma.github.io/Logging_1880/klagomålsmail/A 575-2024 FSC-klagomål mail.docx", "A 575-2024")</f>
        <v/>
      </c>
      <c r="X102">
        <f>HYPERLINK("https://klasma.github.io/Logging_1880/tillsyn/A 575-2024 tillsynsbegäran.docx", "A 575-2024")</f>
        <v/>
      </c>
      <c r="Y102">
        <f>HYPERLINK("https://klasma.github.io/Logging_1880/tillsynsmail/A 575-2024 tillsynsbegäran mail.docx", "A 575-2024")</f>
        <v/>
      </c>
      <c r="Z102">
        <f>HYPERLINK("https://klasma.github.io/Logging_1880/fåglar/A 575-2024 prioriterade fågelarter.docx", "A 575-2024")</f>
        <v/>
      </c>
    </row>
    <row r="103" ht="15" customHeight="1">
      <c r="A103" t="inlineStr">
        <is>
          <t>A 45117-2023</t>
        </is>
      </c>
      <c r="B103" s="1" t="n">
        <v>45191</v>
      </c>
      <c r="C103" s="1" t="n">
        <v>45952</v>
      </c>
      <c r="D103" t="inlineStr">
        <is>
          <t>ÖREBRO LÄN</t>
        </is>
      </c>
      <c r="E103" t="inlineStr">
        <is>
          <t>HALLSBERG</t>
        </is>
      </c>
      <c r="F103" t="inlineStr">
        <is>
          <t>Allmännings- och besparingsskogar</t>
        </is>
      </c>
      <c r="G103" t="n">
        <v>20.8</v>
      </c>
      <c r="H103" t="n">
        <v>1</v>
      </c>
      <c r="I103" t="n">
        <v>2</v>
      </c>
      <c r="J103" t="n">
        <v>1</v>
      </c>
      <c r="K103" t="n">
        <v>0</v>
      </c>
      <c r="L103" t="n">
        <v>0</v>
      </c>
      <c r="M103" t="n">
        <v>0</v>
      </c>
      <c r="N103" t="n">
        <v>0</v>
      </c>
      <c r="O103" t="n">
        <v>1</v>
      </c>
      <c r="P103" t="n">
        <v>0</v>
      </c>
      <c r="Q103" t="n">
        <v>3</v>
      </c>
      <c r="R103" s="2" t="inlineStr">
        <is>
          <t>Havsörn
Thomsons trägnagare
Vågbandad barkbock</t>
        </is>
      </c>
      <c r="S103">
        <f>HYPERLINK("https://klasma.github.io/Logging_1861/artfynd/A 45117-2023 artfynd.xlsx", "A 45117-2023")</f>
        <v/>
      </c>
      <c r="T103">
        <f>HYPERLINK("https://klasma.github.io/Logging_1861/kartor/A 45117-2023 karta.png", "A 45117-2023")</f>
        <v/>
      </c>
      <c r="V103">
        <f>HYPERLINK("https://klasma.github.io/Logging_1861/klagomål/A 45117-2023 FSC-klagomål.docx", "A 45117-2023")</f>
        <v/>
      </c>
      <c r="W103">
        <f>HYPERLINK("https://klasma.github.io/Logging_1861/klagomålsmail/A 45117-2023 FSC-klagomål mail.docx", "A 45117-2023")</f>
        <v/>
      </c>
      <c r="X103">
        <f>HYPERLINK("https://klasma.github.io/Logging_1861/tillsyn/A 45117-2023 tillsynsbegäran.docx", "A 45117-2023")</f>
        <v/>
      </c>
      <c r="Y103">
        <f>HYPERLINK("https://klasma.github.io/Logging_1861/tillsynsmail/A 45117-2023 tillsynsbegäran mail.docx", "A 45117-2023")</f>
        <v/>
      </c>
      <c r="Z103">
        <f>HYPERLINK("https://klasma.github.io/Logging_1861/fåglar/A 45117-2023 prioriterade fågelarter.docx", "A 45117-2023")</f>
        <v/>
      </c>
    </row>
    <row r="104" ht="15" customHeight="1">
      <c r="A104" t="inlineStr">
        <is>
          <t>A 4652-2023</t>
        </is>
      </c>
      <c r="B104" s="1" t="n">
        <v>44957</v>
      </c>
      <c r="C104" s="1" t="n">
        <v>45952</v>
      </c>
      <c r="D104" t="inlineStr">
        <is>
          <t>ÖREBRO LÄN</t>
        </is>
      </c>
      <c r="E104" t="inlineStr">
        <is>
          <t>HÄLLEFORS</t>
        </is>
      </c>
      <c r="G104" t="n">
        <v>2.5</v>
      </c>
      <c r="H104" t="n">
        <v>0</v>
      </c>
      <c r="I104" t="n">
        <v>2</v>
      </c>
      <c r="J104" t="n">
        <v>1</v>
      </c>
      <c r="K104" t="n">
        <v>0</v>
      </c>
      <c r="L104" t="n">
        <v>0</v>
      </c>
      <c r="M104" t="n">
        <v>0</v>
      </c>
      <c r="N104" t="n">
        <v>0</v>
      </c>
      <c r="O104" t="n">
        <v>1</v>
      </c>
      <c r="P104" t="n">
        <v>0</v>
      </c>
      <c r="Q104" t="n">
        <v>3</v>
      </c>
      <c r="R104" s="2" t="inlineStr">
        <is>
          <t>Vedtrappmossa
Svart trolldruva
Tibast</t>
        </is>
      </c>
      <c r="S104">
        <f>HYPERLINK("https://klasma.github.io/Logging_1863/artfynd/A 4652-2023 artfynd.xlsx", "A 4652-2023")</f>
        <v/>
      </c>
      <c r="T104">
        <f>HYPERLINK("https://klasma.github.io/Logging_1863/kartor/A 4652-2023 karta.png", "A 4652-2023")</f>
        <v/>
      </c>
      <c r="V104">
        <f>HYPERLINK("https://klasma.github.io/Logging_1863/klagomål/A 4652-2023 FSC-klagomål.docx", "A 4652-2023")</f>
        <v/>
      </c>
      <c r="W104">
        <f>HYPERLINK("https://klasma.github.io/Logging_1863/klagomålsmail/A 4652-2023 FSC-klagomål mail.docx", "A 4652-2023")</f>
        <v/>
      </c>
      <c r="X104">
        <f>HYPERLINK("https://klasma.github.io/Logging_1863/tillsyn/A 4652-2023 tillsynsbegäran.docx", "A 4652-2023")</f>
        <v/>
      </c>
      <c r="Y104">
        <f>HYPERLINK("https://klasma.github.io/Logging_1863/tillsynsmail/A 4652-2023 tillsynsbegäran mail.docx", "A 4652-2023")</f>
        <v/>
      </c>
    </row>
    <row r="105" ht="15" customHeight="1">
      <c r="A105" t="inlineStr">
        <is>
          <t>A 25541-2023</t>
        </is>
      </c>
      <c r="B105" s="1" t="n">
        <v>45089.56824074074</v>
      </c>
      <c r="C105" s="1" t="n">
        <v>45952</v>
      </c>
      <c r="D105" t="inlineStr">
        <is>
          <t>ÖREBRO LÄN</t>
        </is>
      </c>
      <c r="E105" t="inlineStr">
        <is>
          <t>DEGERFORS</t>
        </is>
      </c>
      <c r="F105" t="inlineStr">
        <is>
          <t>Sveaskog</t>
        </is>
      </c>
      <c r="G105" t="n">
        <v>1.8</v>
      </c>
      <c r="H105" t="n">
        <v>2</v>
      </c>
      <c r="I105" t="n">
        <v>1</v>
      </c>
      <c r="J105" t="n">
        <v>2</v>
      </c>
      <c r="K105" t="n">
        <v>0</v>
      </c>
      <c r="L105" t="n">
        <v>0</v>
      </c>
      <c r="M105" t="n">
        <v>0</v>
      </c>
      <c r="N105" t="n">
        <v>0</v>
      </c>
      <c r="O105" t="n">
        <v>2</v>
      </c>
      <c r="P105" t="n">
        <v>0</v>
      </c>
      <c r="Q105" t="n">
        <v>3</v>
      </c>
      <c r="R105" s="2" t="inlineStr">
        <is>
          <t>Spillkråka
Tretåig hackspett
Vedticka</t>
        </is>
      </c>
      <c r="S105">
        <f>HYPERLINK("https://klasma.github.io/Logging_1862/artfynd/A 25541-2023 artfynd.xlsx", "A 25541-2023")</f>
        <v/>
      </c>
      <c r="T105">
        <f>HYPERLINK("https://klasma.github.io/Logging_1862/kartor/A 25541-2023 karta.png", "A 25541-2023")</f>
        <v/>
      </c>
      <c r="V105">
        <f>HYPERLINK("https://klasma.github.io/Logging_1862/klagomål/A 25541-2023 FSC-klagomål.docx", "A 25541-2023")</f>
        <v/>
      </c>
      <c r="W105">
        <f>HYPERLINK("https://klasma.github.io/Logging_1862/klagomålsmail/A 25541-2023 FSC-klagomål mail.docx", "A 25541-2023")</f>
        <v/>
      </c>
      <c r="X105">
        <f>HYPERLINK("https://klasma.github.io/Logging_1862/tillsyn/A 25541-2023 tillsynsbegäran.docx", "A 25541-2023")</f>
        <v/>
      </c>
      <c r="Y105">
        <f>HYPERLINK("https://klasma.github.io/Logging_1862/tillsynsmail/A 25541-2023 tillsynsbegäran mail.docx", "A 25541-2023")</f>
        <v/>
      </c>
      <c r="Z105">
        <f>HYPERLINK("https://klasma.github.io/Logging_1862/fåglar/A 25541-2023 prioriterade fågelarter.docx", "A 25541-2023")</f>
        <v/>
      </c>
    </row>
    <row r="106" ht="15" customHeight="1">
      <c r="A106" t="inlineStr">
        <is>
          <t>A 3945-2022</t>
        </is>
      </c>
      <c r="B106" s="1" t="n">
        <v>44587</v>
      </c>
      <c r="C106" s="1" t="n">
        <v>45952</v>
      </c>
      <c r="D106" t="inlineStr">
        <is>
          <t>ÖREBRO LÄN</t>
        </is>
      </c>
      <c r="E106" t="inlineStr">
        <is>
          <t>ASKERSUND</t>
        </is>
      </c>
      <c r="G106" t="n">
        <v>1.5</v>
      </c>
      <c r="H106" t="n">
        <v>3</v>
      </c>
      <c r="I106" t="n">
        <v>0</v>
      </c>
      <c r="J106" t="n">
        <v>1</v>
      </c>
      <c r="K106" t="n">
        <v>0</v>
      </c>
      <c r="L106" t="n">
        <v>0</v>
      </c>
      <c r="M106" t="n">
        <v>0</v>
      </c>
      <c r="N106" t="n">
        <v>0</v>
      </c>
      <c r="O106" t="n">
        <v>1</v>
      </c>
      <c r="P106" t="n">
        <v>0</v>
      </c>
      <c r="Q106" t="n">
        <v>3</v>
      </c>
      <c r="R106" s="2" t="inlineStr">
        <is>
          <t>Tretåig hackspett
Tjäder
Revlummer</t>
        </is>
      </c>
      <c r="S106">
        <f>HYPERLINK("https://klasma.github.io/Logging_1882/artfynd/A 3945-2022 artfynd.xlsx", "A 3945-2022")</f>
        <v/>
      </c>
      <c r="T106">
        <f>HYPERLINK("https://klasma.github.io/Logging_1882/kartor/A 3945-2022 karta.png", "A 3945-2022")</f>
        <v/>
      </c>
      <c r="V106">
        <f>HYPERLINK("https://klasma.github.io/Logging_1882/klagomål/A 3945-2022 FSC-klagomål.docx", "A 3945-2022")</f>
        <v/>
      </c>
      <c r="W106">
        <f>HYPERLINK("https://klasma.github.io/Logging_1882/klagomålsmail/A 3945-2022 FSC-klagomål mail.docx", "A 3945-2022")</f>
        <v/>
      </c>
      <c r="X106">
        <f>HYPERLINK("https://klasma.github.io/Logging_1882/tillsyn/A 3945-2022 tillsynsbegäran.docx", "A 3945-2022")</f>
        <v/>
      </c>
      <c r="Y106">
        <f>HYPERLINK("https://klasma.github.io/Logging_1882/tillsynsmail/A 3945-2022 tillsynsbegäran mail.docx", "A 3945-2022")</f>
        <v/>
      </c>
      <c r="Z106">
        <f>HYPERLINK("https://klasma.github.io/Logging_1882/fåglar/A 3945-2022 prioriterade fågelarter.docx", "A 3945-2022")</f>
        <v/>
      </c>
    </row>
    <row r="107" ht="15" customHeight="1">
      <c r="A107" t="inlineStr">
        <is>
          <t>A 16122-2023</t>
        </is>
      </c>
      <c r="B107" s="1" t="n">
        <v>45027</v>
      </c>
      <c r="C107" s="1" t="n">
        <v>45952</v>
      </c>
      <c r="D107" t="inlineStr">
        <is>
          <t>ÖREBRO LÄN</t>
        </is>
      </c>
      <c r="E107" t="inlineStr">
        <is>
          <t>HALLSBERG</t>
        </is>
      </c>
      <c r="F107" t="inlineStr">
        <is>
          <t>Allmännings- och besparingsskogar</t>
        </is>
      </c>
      <c r="G107" t="n">
        <v>10.7</v>
      </c>
      <c r="H107" t="n">
        <v>3</v>
      </c>
      <c r="I107" t="n">
        <v>0</v>
      </c>
      <c r="J107" t="n">
        <v>1</v>
      </c>
      <c r="K107" t="n">
        <v>0</v>
      </c>
      <c r="L107" t="n">
        <v>0</v>
      </c>
      <c r="M107" t="n">
        <v>0</v>
      </c>
      <c r="N107" t="n">
        <v>0</v>
      </c>
      <c r="O107" t="n">
        <v>1</v>
      </c>
      <c r="P107" t="n">
        <v>0</v>
      </c>
      <c r="Q107" t="n">
        <v>3</v>
      </c>
      <c r="R107" s="2" t="inlineStr">
        <is>
          <t>Spillkråka
Fläcknycklar
Revlummer</t>
        </is>
      </c>
      <c r="S107">
        <f>HYPERLINK("https://klasma.github.io/Logging_1861/artfynd/A 16122-2023 artfynd.xlsx", "A 16122-2023")</f>
        <v/>
      </c>
      <c r="T107">
        <f>HYPERLINK("https://klasma.github.io/Logging_1861/kartor/A 16122-2023 karta.png", "A 16122-2023")</f>
        <v/>
      </c>
      <c r="V107">
        <f>HYPERLINK("https://klasma.github.io/Logging_1861/klagomål/A 16122-2023 FSC-klagomål.docx", "A 16122-2023")</f>
        <v/>
      </c>
      <c r="W107">
        <f>HYPERLINK("https://klasma.github.io/Logging_1861/klagomålsmail/A 16122-2023 FSC-klagomål mail.docx", "A 16122-2023")</f>
        <v/>
      </c>
      <c r="X107">
        <f>HYPERLINK("https://klasma.github.io/Logging_1861/tillsyn/A 16122-2023 tillsynsbegäran.docx", "A 16122-2023")</f>
        <v/>
      </c>
      <c r="Y107">
        <f>HYPERLINK("https://klasma.github.io/Logging_1861/tillsynsmail/A 16122-2023 tillsynsbegäran mail.docx", "A 16122-2023")</f>
        <v/>
      </c>
      <c r="Z107">
        <f>HYPERLINK("https://klasma.github.io/Logging_1861/fåglar/A 16122-2023 prioriterade fågelarter.docx", "A 16122-2023")</f>
        <v/>
      </c>
    </row>
    <row r="108" ht="15" customHeight="1">
      <c r="A108" t="inlineStr">
        <is>
          <t>A 38299-2022</t>
        </is>
      </c>
      <c r="B108" s="1" t="n">
        <v>44812</v>
      </c>
      <c r="C108" s="1" t="n">
        <v>45952</v>
      </c>
      <c r="D108" t="inlineStr">
        <is>
          <t>ÖREBRO LÄN</t>
        </is>
      </c>
      <c r="E108" t="inlineStr">
        <is>
          <t>ASKERSUND</t>
        </is>
      </c>
      <c r="G108" t="n">
        <v>6.2</v>
      </c>
      <c r="H108" t="n">
        <v>1</v>
      </c>
      <c r="I108" t="n">
        <v>2</v>
      </c>
      <c r="J108" t="n">
        <v>0</v>
      </c>
      <c r="K108" t="n">
        <v>0</v>
      </c>
      <c r="L108" t="n">
        <v>0</v>
      </c>
      <c r="M108" t="n">
        <v>0</v>
      </c>
      <c r="N108" t="n">
        <v>0</v>
      </c>
      <c r="O108" t="n">
        <v>0</v>
      </c>
      <c r="P108" t="n">
        <v>0</v>
      </c>
      <c r="Q108" t="n">
        <v>3</v>
      </c>
      <c r="R108" s="2" t="inlineStr">
        <is>
          <t>Mörk husmossa
Skogshakmossa
Nattviol</t>
        </is>
      </c>
      <c r="S108">
        <f>HYPERLINK("https://klasma.github.io/Logging_1882/artfynd/A 38299-2022 artfynd.xlsx", "A 38299-2022")</f>
        <v/>
      </c>
      <c r="T108">
        <f>HYPERLINK("https://klasma.github.io/Logging_1882/kartor/A 38299-2022 karta.png", "A 38299-2022")</f>
        <v/>
      </c>
      <c r="V108">
        <f>HYPERLINK("https://klasma.github.io/Logging_1882/klagomål/A 38299-2022 FSC-klagomål.docx", "A 38299-2022")</f>
        <v/>
      </c>
      <c r="W108">
        <f>HYPERLINK("https://klasma.github.io/Logging_1882/klagomålsmail/A 38299-2022 FSC-klagomål mail.docx", "A 38299-2022")</f>
        <v/>
      </c>
      <c r="X108">
        <f>HYPERLINK("https://klasma.github.io/Logging_1882/tillsyn/A 38299-2022 tillsynsbegäran.docx", "A 38299-2022")</f>
        <v/>
      </c>
      <c r="Y108">
        <f>HYPERLINK("https://klasma.github.io/Logging_1882/tillsynsmail/A 38299-2022 tillsynsbegäran mail.docx", "A 38299-2022")</f>
        <v/>
      </c>
    </row>
    <row r="109" ht="15" customHeight="1">
      <c r="A109" t="inlineStr">
        <is>
          <t>A 44883-2024</t>
        </is>
      </c>
      <c r="B109" s="1" t="n">
        <v>45575</v>
      </c>
      <c r="C109" s="1" t="n">
        <v>45952</v>
      </c>
      <c r="D109" t="inlineStr">
        <is>
          <t>ÖREBRO LÄN</t>
        </is>
      </c>
      <c r="E109" t="inlineStr">
        <is>
          <t>ASKERSUND</t>
        </is>
      </c>
      <c r="F109" t="inlineStr">
        <is>
          <t>Sveaskog</t>
        </is>
      </c>
      <c r="G109" t="n">
        <v>2.8</v>
      </c>
      <c r="H109" t="n">
        <v>1</v>
      </c>
      <c r="I109" t="n">
        <v>1</v>
      </c>
      <c r="J109" t="n">
        <v>1</v>
      </c>
      <c r="K109" t="n">
        <v>0</v>
      </c>
      <c r="L109" t="n">
        <v>0</v>
      </c>
      <c r="M109" t="n">
        <v>0</v>
      </c>
      <c r="N109" t="n">
        <v>0</v>
      </c>
      <c r="O109" t="n">
        <v>1</v>
      </c>
      <c r="P109" t="n">
        <v>0</v>
      </c>
      <c r="Q109" t="n">
        <v>3</v>
      </c>
      <c r="R109" s="2" t="inlineStr">
        <is>
          <t>Svinrot
Svart trolldruva
Gullviva</t>
        </is>
      </c>
      <c r="S109">
        <f>HYPERLINK("https://klasma.github.io/Logging_1882/artfynd/A 44883-2024 artfynd.xlsx", "A 44883-2024")</f>
        <v/>
      </c>
      <c r="T109">
        <f>HYPERLINK("https://klasma.github.io/Logging_1882/kartor/A 44883-2024 karta.png", "A 44883-2024")</f>
        <v/>
      </c>
      <c r="V109">
        <f>HYPERLINK("https://klasma.github.io/Logging_1882/klagomål/A 44883-2024 FSC-klagomål.docx", "A 44883-2024")</f>
        <v/>
      </c>
      <c r="W109">
        <f>HYPERLINK("https://klasma.github.io/Logging_1882/klagomålsmail/A 44883-2024 FSC-klagomål mail.docx", "A 44883-2024")</f>
        <v/>
      </c>
      <c r="X109">
        <f>HYPERLINK("https://klasma.github.io/Logging_1882/tillsyn/A 44883-2024 tillsynsbegäran.docx", "A 44883-2024")</f>
        <v/>
      </c>
      <c r="Y109">
        <f>HYPERLINK("https://klasma.github.io/Logging_1882/tillsynsmail/A 44883-2024 tillsynsbegäran mail.docx", "A 44883-2024")</f>
        <v/>
      </c>
    </row>
    <row r="110" ht="15" customHeight="1">
      <c r="A110" t="inlineStr">
        <is>
          <t>A 45233-2021</t>
        </is>
      </c>
      <c r="B110" s="1" t="n">
        <v>44439</v>
      </c>
      <c r="C110" s="1" t="n">
        <v>45952</v>
      </c>
      <c r="D110" t="inlineStr">
        <is>
          <t>ÖREBRO LÄN</t>
        </is>
      </c>
      <c r="E110" t="inlineStr">
        <is>
          <t>NORA</t>
        </is>
      </c>
      <c r="G110" t="n">
        <v>1.7</v>
      </c>
      <c r="H110" t="n">
        <v>0</v>
      </c>
      <c r="I110" t="n">
        <v>1</v>
      </c>
      <c r="J110" t="n">
        <v>2</v>
      </c>
      <c r="K110" t="n">
        <v>0</v>
      </c>
      <c r="L110" t="n">
        <v>0</v>
      </c>
      <c r="M110" t="n">
        <v>0</v>
      </c>
      <c r="N110" t="n">
        <v>0</v>
      </c>
      <c r="O110" t="n">
        <v>2</v>
      </c>
      <c r="P110" t="n">
        <v>0</v>
      </c>
      <c r="Q110" t="n">
        <v>3</v>
      </c>
      <c r="R110" s="2" t="inlineStr">
        <is>
          <t>Skrovlig taggsvamp
Vedskivlav
Dropptaggsvamp</t>
        </is>
      </c>
      <c r="S110">
        <f>HYPERLINK("https://klasma.github.io/Logging_1884/artfynd/A 45233-2021 artfynd.xlsx", "A 45233-2021")</f>
        <v/>
      </c>
      <c r="T110">
        <f>HYPERLINK("https://klasma.github.io/Logging_1884/kartor/A 45233-2021 karta.png", "A 45233-2021")</f>
        <v/>
      </c>
      <c r="V110">
        <f>HYPERLINK("https://klasma.github.io/Logging_1884/klagomål/A 45233-2021 FSC-klagomål.docx", "A 45233-2021")</f>
        <v/>
      </c>
      <c r="W110">
        <f>HYPERLINK("https://klasma.github.io/Logging_1884/klagomålsmail/A 45233-2021 FSC-klagomål mail.docx", "A 45233-2021")</f>
        <v/>
      </c>
      <c r="X110">
        <f>HYPERLINK("https://klasma.github.io/Logging_1884/tillsyn/A 45233-2021 tillsynsbegäran.docx", "A 45233-2021")</f>
        <v/>
      </c>
      <c r="Y110">
        <f>HYPERLINK("https://klasma.github.io/Logging_1884/tillsynsmail/A 45233-2021 tillsynsbegäran mail.docx", "A 45233-2021")</f>
        <v/>
      </c>
    </row>
    <row r="111" ht="15" customHeight="1">
      <c r="A111" t="inlineStr">
        <is>
          <t>A 54877-2024</t>
        </is>
      </c>
      <c r="B111" s="1" t="n">
        <v>45618.60362268519</v>
      </c>
      <c r="C111" s="1" t="n">
        <v>45952</v>
      </c>
      <c r="D111" t="inlineStr">
        <is>
          <t>ÖREBRO LÄN</t>
        </is>
      </c>
      <c r="E111" t="inlineStr">
        <is>
          <t>LAXÅ</t>
        </is>
      </c>
      <c r="F111" t="inlineStr">
        <is>
          <t>Sveaskog</t>
        </is>
      </c>
      <c r="G111" t="n">
        <v>1.3</v>
      </c>
      <c r="H111" t="n">
        <v>0</v>
      </c>
      <c r="I111" t="n">
        <v>2</v>
      </c>
      <c r="J111" t="n">
        <v>1</v>
      </c>
      <c r="K111" t="n">
        <v>0</v>
      </c>
      <c r="L111" t="n">
        <v>0</v>
      </c>
      <c r="M111" t="n">
        <v>0</v>
      </c>
      <c r="N111" t="n">
        <v>0</v>
      </c>
      <c r="O111" t="n">
        <v>1</v>
      </c>
      <c r="P111" t="n">
        <v>0</v>
      </c>
      <c r="Q111" t="n">
        <v>3</v>
      </c>
      <c r="R111" s="2" t="inlineStr">
        <is>
          <t>Tallticka
Dropptaggsvamp
Grovticka</t>
        </is>
      </c>
      <c r="S111">
        <f>HYPERLINK("https://klasma.github.io/Logging_1860/artfynd/A 54877-2024 artfynd.xlsx", "A 54877-2024")</f>
        <v/>
      </c>
      <c r="T111">
        <f>HYPERLINK("https://klasma.github.io/Logging_1860/kartor/A 54877-2024 karta.png", "A 54877-2024")</f>
        <v/>
      </c>
      <c r="V111">
        <f>HYPERLINK("https://klasma.github.io/Logging_1860/klagomål/A 54877-2024 FSC-klagomål.docx", "A 54877-2024")</f>
        <v/>
      </c>
      <c r="W111">
        <f>HYPERLINK("https://klasma.github.io/Logging_1860/klagomålsmail/A 54877-2024 FSC-klagomål mail.docx", "A 54877-2024")</f>
        <v/>
      </c>
      <c r="X111">
        <f>HYPERLINK("https://klasma.github.io/Logging_1860/tillsyn/A 54877-2024 tillsynsbegäran.docx", "A 54877-2024")</f>
        <v/>
      </c>
      <c r="Y111">
        <f>HYPERLINK("https://klasma.github.io/Logging_1860/tillsynsmail/A 54877-2024 tillsynsbegäran mail.docx", "A 54877-2024")</f>
        <v/>
      </c>
    </row>
    <row r="112" ht="15" customHeight="1">
      <c r="A112" t="inlineStr">
        <is>
          <t>A 39193-2025</t>
        </is>
      </c>
      <c r="B112" s="1" t="n">
        <v>45888.67765046296</v>
      </c>
      <c r="C112" s="1" t="n">
        <v>45952</v>
      </c>
      <c r="D112" t="inlineStr">
        <is>
          <t>ÖREBRO LÄN</t>
        </is>
      </c>
      <c r="E112" t="inlineStr">
        <is>
          <t>LINDESBERG</t>
        </is>
      </c>
      <c r="G112" t="n">
        <v>1.6</v>
      </c>
      <c r="H112" t="n">
        <v>0</v>
      </c>
      <c r="I112" t="n">
        <v>1</v>
      </c>
      <c r="J112" t="n">
        <v>2</v>
      </c>
      <c r="K112" t="n">
        <v>0</v>
      </c>
      <c r="L112" t="n">
        <v>0</v>
      </c>
      <c r="M112" t="n">
        <v>0</v>
      </c>
      <c r="N112" t="n">
        <v>0</v>
      </c>
      <c r="O112" t="n">
        <v>2</v>
      </c>
      <c r="P112" t="n">
        <v>0</v>
      </c>
      <c r="Q112" t="n">
        <v>3</v>
      </c>
      <c r="R112" s="2" t="inlineStr">
        <is>
          <t>Motaggsvamp
Ullticka
Grönpyrola</t>
        </is>
      </c>
      <c r="S112">
        <f>HYPERLINK("https://klasma.github.io/Logging_1885/artfynd/A 39193-2025 artfynd.xlsx", "A 39193-2025")</f>
        <v/>
      </c>
      <c r="T112">
        <f>HYPERLINK("https://klasma.github.io/Logging_1885/kartor/A 39193-2025 karta.png", "A 39193-2025")</f>
        <v/>
      </c>
      <c r="U112">
        <f>HYPERLINK("https://klasma.github.io/Logging_1885/knärot/A 39193-2025 karta knärot.png", "A 39193-2025")</f>
        <v/>
      </c>
      <c r="V112">
        <f>HYPERLINK("https://klasma.github.io/Logging_1885/klagomål/A 39193-2025 FSC-klagomål.docx", "A 39193-2025")</f>
        <v/>
      </c>
      <c r="W112">
        <f>HYPERLINK("https://klasma.github.io/Logging_1885/klagomålsmail/A 39193-2025 FSC-klagomål mail.docx", "A 39193-2025")</f>
        <v/>
      </c>
      <c r="X112">
        <f>HYPERLINK("https://klasma.github.io/Logging_1885/tillsyn/A 39193-2025 tillsynsbegäran.docx", "A 39193-2025")</f>
        <v/>
      </c>
      <c r="Y112">
        <f>HYPERLINK("https://klasma.github.io/Logging_1885/tillsynsmail/A 39193-2025 tillsynsbegäran mail.docx", "A 39193-2025")</f>
        <v/>
      </c>
    </row>
    <row r="113" ht="15" customHeight="1">
      <c r="A113" t="inlineStr">
        <is>
          <t>A 28035-2023</t>
        </is>
      </c>
      <c r="B113" s="1" t="n">
        <v>45099</v>
      </c>
      <c r="C113" s="1" t="n">
        <v>45952</v>
      </c>
      <c r="D113" t="inlineStr">
        <is>
          <t>ÖREBRO LÄN</t>
        </is>
      </c>
      <c r="E113" t="inlineStr">
        <is>
          <t>LINDESBERG</t>
        </is>
      </c>
      <c r="F113" t="inlineStr">
        <is>
          <t>Kyrkan</t>
        </is>
      </c>
      <c r="G113" t="n">
        <v>1.1</v>
      </c>
      <c r="H113" t="n">
        <v>1</v>
      </c>
      <c r="I113" t="n">
        <v>1</v>
      </c>
      <c r="J113" t="n">
        <v>0</v>
      </c>
      <c r="K113" t="n">
        <v>0</v>
      </c>
      <c r="L113" t="n">
        <v>2</v>
      </c>
      <c r="M113" t="n">
        <v>0</v>
      </c>
      <c r="N113" t="n">
        <v>0</v>
      </c>
      <c r="O113" t="n">
        <v>2</v>
      </c>
      <c r="P113" t="n">
        <v>2</v>
      </c>
      <c r="Q113" t="n">
        <v>3</v>
      </c>
      <c r="R113" s="2" t="inlineStr">
        <is>
          <t>Ask
Asknätfjäril
Tibast</t>
        </is>
      </c>
      <c r="S113">
        <f>HYPERLINK("https://klasma.github.io/Logging_1885/artfynd/A 28035-2023 artfynd.xlsx", "A 28035-2023")</f>
        <v/>
      </c>
      <c r="T113">
        <f>HYPERLINK("https://klasma.github.io/Logging_1885/kartor/A 28035-2023 karta.png", "A 28035-2023")</f>
        <v/>
      </c>
      <c r="V113">
        <f>HYPERLINK("https://klasma.github.io/Logging_1885/klagomål/A 28035-2023 FSC-klagomål.docx", "A 28035-2023")</f>
        <v/>
      </c>
      <c r="W113">
        <f>HYPERLINK("https://klasma.github.io/Logging_1885/klagomålsmail/A 28035-2023 FSC-klagomål mail.docx", "A 28035-2023")</f>
        <v/>
      </c>
      <c r="X113">
        <f>HYPERLINK("https://klasma.github.io/Logging_1885/tillsyn/A 28035-2023 tillsynsbegäran.docx", "A 28035-2023")</f>
        <v/>
      </c>
      <c r="Y113">
        <f>HYPERLINK("https://klasma.github.io/Logging_1885/tillsynsmail/A 28035-2023 tillsynsbegäran mail.docx", "A 28035-2023")</f>
        <v/>
      </c>
    </row>
    <row r="114" ht="15" customHeight="1">
      <c r="A114" t="inlineStr">
        <is>
          <t>A 50096-2023</t>
        </is>
      </c>
      <c r="B114" s="1" t="n">
        <v>45215</v>
      </c>
      <c r="C114" s="1" t="n">
        <v>45952</v>
      </c>
      <c r="D114" t="inlineStr">
        <is>
          <t>ÖREBRO LÄN</t>
        </is>
      </c>
      <c r="E114" t="inlineStr">
        <is>
          <t>ÖREBRO</t>
        </is>
      </c>
      <c r="F114" t="inlineStr">
        <is>
          <t>Övriga Aktiebolag</t>
        </is>
      </c>
      <c r="G114" t="n">
        <v>2.3</v>
      </c>
      <c r="H114" t="n">
        <v>3</v>
      </c>
      <c r="I114" t="n">
        <v>0</v>
      </c>
      <c r="J114" t="n">
        <v>2</v>
      </c>
      <c r="K114" t="n">
        <v>0</v>
      </c>
      <c r="L114" t="n">
        <v>0</v>
      </c>
      <c r="M114" t="n">
        <v>0</v>
      </c>
      <c r="N114" t="n">
        <v>0</v>
      </c>
      <c r="O114" t="n">
        <v>2</v>
      </c>
      <c r="P114" t="n">
        <v>0</v>
      </c>
      <c r="Q114" t="n">
        <v>3</v>
      </c>
      <c r="R114" s="2" t="inlineStr">
        <is>
          <t>Fiskmås
Skrattmås
Sångsvan</t>
        </is>
      </c>
      <c r="S114">
        <f>HYPERLINK("https://klasma.github.io/Logging_1880/artfynd/A 50096-2023 artfynd.xlsx", "A 50096-2023")</f>
        <v/>
      </c>
      <c r="T114">
        <f>HYPERLINK("https://klasma.github.io/Logging_1880/kartor/A 50096-2023 karta.png", "A 50096-2023")</f>
        <v/>
      </c>
      <c r="V114">
        <f>HYPERLINK("https://klasma.github.io/Logging_1880/klagomål/A 50096-2023 FSC-klagomål.docx", "A 50096-2023")</f>
        <v/>
      </c>
      <c r="W114">
        <f>HYPERLINK("https://klasma.github.io/Logging_1880/klagomålsmail/A 50096-2023 FSC-klagomål mail.docx", "A 50096-2023")</f>
        <v/>
      </c>
      <c r="X114">
        <f>HYPERLINK("https://klasma.github.io/Logging_1880/tillsyn/A 50096-2023 tillsynsbegäran.docx", "A 50096-2023")</f>
        <v/>
      </c>
      <c r="Y114">
        <f>HYPERLINK("https://klasma.github.io/Logging_1880/tillsynsmail/A 50096-2023 tillsynsbegäran mail.docx", "A 50096-2023")</f>
        <v/>
      </c>
      <c r="Z114">
        <f>HYPERLINK("https://klasma.github.io/Logging_1880/fåglar/A 50096-2023 prioriterade fågelarter.docx", "A 50096-2023")</f>
        <v/>
      </c>
    </row>
    <row r="115" ht="15" customHeight="1">
      <c r="A115" t="inlineStr">
        <is>
          <t>A 13627-2025</t>
        </is>
      </c>
      <c r="B115" s="1" t="n">
        <v>45736</v>
      </c>
      <c r="C115" s="1" t="n">
        <v>45952</v>
      </c>
      <c r="D115" t="inlineStr">
        <is>
          <t>ÖREBRO LÄN</t>
        </is>
      </c>
      <c r="E115" t="inlineStr">
        <is>
          <t>ÖREBRO</t>
        </is>
      </c>
      <c r="G115" t="n">
        <v>9.6</v>
      </c>
      <c r="H115" t="n">
        <v>3</v>
      </c>
      <c r="I115" t="n">
        <v>0</v>
      </c>
      <c r="J115" t="n">
        <v>1</v>
      </c>
      <c r="K115" t="n">
        <v>0</v>
      </c>
      <c r="L115" t="n">
        <v>0</v>
      </c>
      <c r="M115" t="n">
        <v>0</v>
      </c>
      <c r="N115" t="n">
        <v>0</v>
      </c>
      <c r="O115" t="n">
        <v>1</v>
      </c>
      <c r="P115" t="n">
        <v>0</v>
      </c>
      <c r="Q115" t="n">
        <v>3</v>
      </c>
      <c r="R115" s="2" t="inlineStr">
        <is>
          <t>Spillkråka
Grönsiska
Kungsfågel</t>
        </is>
      </c>
      <c r="S115">
        <f>HYPERLINK("https://klasma.github.io/Logging_1880/artfynd/A 13627-2025 artfynd.xlsx", "A 13627-2025")</f>
        <v/>
      </c>
      <c r="T115">
        <f>HYPERLINK("https://klasma.github.io/Logging_1880/kartor/A 13627-2025 karta.png", "A 13627-2025")</f>
        <v/>
      </c>
      <c r="V115">
        <f>HYPERLINK("https://klasma.github.io/Logging_1880/klagomål/A 13627-2025 FSC-klagomål.docx", "A 13627-2025")</f>
        <v/>
      </c>
      <c r="W115">
        <f>HYPERLINK("https://klasma.github.io/Logging_1880/klagomålsmail/A 13627-2025 FSC-klagomål mail.docx", "A 13627-2025")</f>
        <v/>
      </c>
      <c r="X115">
        <f>HYPERLINK("https://klasma.github.io/Logging_1880/tillsyn/A 13627-2025 tillsynsbegäran.docx", "A 13627-2025")</f>
        <v/>
      </c>
      <c r="Y115">
        <f>HYPERLINK("https://klasma.github.io/Logging_1880/tillsynsmail/A 13627-2025 tillsynsbegäran mail.docx", "A 13627-2025")</f>
        <v/>
      </c>
      <c r="Z115">
        <f>HYPERLINK("https://klasma.github.io/Logging_1880/fåglar/A 13627-2025 prioriterade fågelarter.docx", "A 13627-2025")</f>
        <v/>
      </c>
    </row>
    <row r="116" ht="15" customHeight="1">
      <c r="A116" t="inlineStr">
        <is>
          <t>A 3731-2025</t>
        </is>
      </c>
      <c r="B116" s="1" t="n">
        <v>45681</v>
      </c>
      <c r="C116" s="1" t="n">
        <v>45952</v>
      </c>
      <c r="D116" t="inlineStr">
        <is>
          <t>ÖREBRO LÄN</t>
        </is>
      </c>
      <c r="E116" t="inlineStr">
        <is>
          <t>ASKERSUND</t>
        </is>
      </c>
      <c r="G116" t="n">
        <v>1.5</v>
      </c>
      <c r="H116" t="n">
        <v>0</v>
      </c>
      <c r="I116" t="n">
        <v>0</v>
      </c>
      <c r="J116" t="n">
        <v>2</v>
      </c>
      <c r="K116" t="n">
        <v>1</v>
      </c>
      <c r="L116" t="n">
        <v>0</v>
      </c>
      <c r="M116" t="n">
        <v>0</v>
      </c>
      <c r="N116" t="n">
        <v>0</v>
      </c>
      <c r="O116" t="n">
        <v>3</v>
      </c>
      <c r="P116" t="n">
        <v>1</v>
      </c>
      <c r="Q116" t="n">
        <v>3</v>
      </c>
      <c r="R116" s="2" t="inlineStr">
        <is>
          <t>Slåttergubbe
Slåtterfibbla
Svinrot</t>
        </is>
      </c>
      <c r="S116">
        <f>HYPERLINK("https://klasma.github.io/Logging_1882/artfynd/A 3731-2025 artfynd.xlsx", "A 3731-2025")</f>
        <v/>
      </c>
      <c r="T116">
        <f>HYPERLINK("https://klasma.github.io/Logging_1882/kartor/A 3731-2025 karta.png", "A 3731-2025")</f>
        <v/>
      </c>
      <c r="V116">
        <f>HYPERLINK("https://klasma.github.io/Logging_1882/klagomål/A 3731-2025 FSC-klagomål.docx", "A 3731-2025")</f>
        <v/>
      </c>
      <c r="W116">
        <f>HYPERLINK("https://klasma.github.io/Logging_1882/klagomålsmail/A 3731-2025 FSC-klagomål mail.docx", "A 3731-2025")</f>
        <v/>
      </c>
      <c r="X116">
        <f>HYPERLINK("https://klasma.github.io/Logging_1882/tillsyn/A 3731-2025 tillsynsbegäran.docx", "A 3731-2025")</f>
        <v/>
      </c>
      <c r="Y116">
        <f>HYPERLINK("https://klasma.github.io/Logging_1882/tillsynsmail/A 3731-2025 tillsynsbegäran mail.docx", "A 3731-2025")</f>
        <v/>
      </c>
    </row>
    <row r="117" ht="15" customHeight="1">
      <c r="A117" t="inlineStr">
        <is>
          <t>A 17866-2021</t>
        </is>
      </c>
      <c r="B117" s="1" t="n">
        <v>44300</v>
      </c>
      <c r="C117" s="1" t="n">
        <v>45952</v>
      </c>
      <c r="D117" t="inlineStr">
        <is>
          <t>ÖREBRO LÄN</t>
        </is>
      </c>
      <c r="E117" t="inlineStr">
        <is>
          <t>ASKERSUND</t>
        </is>
      </c>
      <c r="G117" t="n">
        <v>2.5</v>
      </c>
      <c r="H117" t="n">
        <v>2</v>
      </c>
      <c r="I117" t="n">
        <v>0</v>
      </c>
      <c r="J117" t="n">
        <v>1</v>
      </c>
      <c r="K117" t="n">
        <v>0</v>
      </c>
      <c r="L117" t="n">
        <v>0</v>
      </c>
      <c r="M117" t="n">
        <v>0</v>
      </c>
      <c r="N117" t="n">
        <v>0</v>
      </c>
      <c r="O117" t="n">
        <v>1</v>
      </c>
      <c r="P117" t="n">
        <v>0</v>
      </c>
      <c r="Q117" t="n">
        <v>3</v>
      </c>
      <c r="R117" s="2" t="inlineStr">
        <is>
          <t>Svinrot
Blåsippa
Gullviva</t>
        </is>
      </c>
      <c r="S117">
        <f>HYPERLINK("https://klasma.github.io/Logging_1882/artfynd/A 17866-2021 artfynd.xlsx", "A 17866-2021")</f>
        <v/>
      </c>
      <c r="T117">
        <f>HYPERLINK("https://klasma.github.io/Logging_1882/kartor/A 17866-2021 karta.png", "A 17866-2021")</f>
        <v/>
      </c>
      <c r="V117">
        <f>HYPERLINK("https://klasma.github.io/Logging_1882/klagomål/A 17866-2021 FSC-klagomål.docx", "A 17866-2021")</f>
        <v/>
      </c>
      <c r="W117">
        <f>HYPERLINK("https://klasma.github.io/Logging_1882/klagomålsmail/A 17866-2021 FSC-klagomål mail.docx", "A 17866-2021")</f>
        <v/>
      </c>
      <c r="X117">
        <f>HYPERLINK("https://klasma.github.io/Logging_1882/tillsyn/A 17866-2021 tillsynsbegäran.docx", "A 17866-2021")</f>
        <v/>
      </c>
      <c r="Y117">
        <f>HYPERLINK("https://klasma.github.io/Logging_1882/tillsynsmail/A 17866-2021 tillsynsbegäran mail.docx", "A 17866-2021")</f>
        <v/>
      </c>
    </row>
    <row r="118" ht="15" customHeight="1">
      <c r="A118" t="inlineStr">
        <is>
          <t>A 50989-2023</t>
        </is>
      </c>
      <c r="B118" s="1" t="n">
        <v>45218</v>
      </c>
      <c r="C118" s="1" t="n">
        <v>45952</v>
      </c>
      <c r="D118" t="inlineStr">
        <is>
          <t>ÖREBRO LÄN</t>
        </is>
      </c>
      <c r="E118" t="inlineStr">
        <is>
          <t>LINDESBERG</t>
        </is>
      </c>
      <c r="F118" t="inlineStr">
        <is>
          <t>Sveaskog</t>
        </is>
      </c>
      <c r="G118" t="n">
        <v>3.4</v>
      </c>
      <c r="H118" t="n">
        <v>0</v>
      </c>
      <c r="I118" t="n">
        <v>1</v>
      </c>
      <c r="J118" t="n">
        <v>2</v>
      </c>
      <c r="K118" t="n">
        <v>0</v>
      </c>
      <c r="L118" t="n">
        <v>0</v>
      </c>
      <c r="M118" t="n">
        <v>0</v>
      </c>
      <c r="N118" t="n">
        <v>0</v>
      </c>
      <c r="O118" t="n">
        <v>2</v>
      </c>
      <c r="P118" t="n">
        <v>0</v>
      </c>
      <c r="Q118" t="n">
        <v>3</v>
      </c>
      <c r="R118" s="2" t="inlineStr">
        <is>
          <t>Grantaggsvamp
Svartvit taggsvamp
Dropptaggsvamp</t>
        </is>
      </c>
      <c r="S118">
        <f>HYPERLINK("https://klasma.github.io/Logging_1885/artfynd/A 50989-2023 artfynd.xlsx", "A 50989-2023")</f>
        <v/>
      </c>
      <c r="T118">
        <f>HYPERLINK("https://klasma.github.io/Logging_1885/kartor/A 50989-2023 karta.png", "A 50989-2023")</f>
        <v/>
      </c>
      <c r="V118">
        <f>HYPERLINK("https://klasma.github.io/Logging_1885/klagomål/A 50989-2023 FSC-klagomål.docx", "A 50989-2023")</f>
        <v/>
      </c>
      <c r="W118">
        <f>HYPERLINK("https://klasma.github.io/Logging_1885/klagomålsmail/A 50989-2023 FSC-klagomål mail.docx", "A 50989-2023")</f>
        <v/>
      </c>
      <c r="X118">
        <f>HYPERLINK("https://klasma.github.io/Logging_1885/tillsyn/A 50989-2023 tillsynsbegäran.docx", "A 50989-2023")</f>
        <v/>
      </c>
      <c r="Y118">
        <f>HYPERLINK("https://klasma.github.io/Logging_1885/tillsynsmail/A 50989-2023 tillsynsbegäran mail.docx", "A 50989-2023")</f>
        <v/>
      </c>
    </row>
    <row r="119" ht="15" customHeight="1">
      <c r="A119" t="inlineStr">
        <is>
          <t>A 17074-2024</t>
        </is>
      </c>
      <c r="B119" s="1" t="n">
        <v>45412</v>
      </c>
      <c r="C119" s="1" t="n">
        <v>45952</v>
      </c>
      <c r="D119" t="inlineStr">
        <is>
          <t>ÖREBRO LÄN</t>
        </is>
      </c>
      <c r="E119" t="inlineStr">
        <is>
          <t>ÖREBRO</t>
        </is>
      </c>
      <c r="F119" t="inlineStr">
        <is>
          <t>Sveaskog</t>
        </is>
      </c>
      <c r="G119" t="n">
        <v>7.2</v>
      </c>
      <c r="H119" t="n">
        <v>1</v>
      </c>
      <c r="I119" t="n">
        <v>2</v>
      </c>
      <c r="J119" t="n">
        <v>0</v>
      </c>
      <c r="K119" t="n">
        <v>0</v>
      </c>
      <c r="L119" t="n">
        <v>1</v>
      </c>
      <c r="M119" t="n">
        <v>0</v>
      </c>
      <c r="N119" t="n">
        <v>0</v>
      </c>
      <c r="O119" t="n">
        <v>1</v>
      </c>
      <c r="P119" t="n">
        <v>1</v>
      </c>
      <c r="Q119" t="n">
        <v>3</v>
      </c>
      <c r="R119" s="2" t="inlineStr">
        <is>
          <t>Ask
Hässleklocka
Skogsknipprot</t>
        </is>
      </c>
      <c r="S119">
        <f>HYPERLINK("https://klasma.github.io/Logging_1880/artfynd/A 17074-2024 artfynd.xlsx", "A 17074-2024")</f>
        <v/>
      </c>
      <c r="T119">
        <f>HYPERLINK("https://klasma.github.io/Logging_1880/kartor/A 17074-2024 karta.png", "A 17074-2024")</f>
        <v/>
      </c>
      <c r="V119">
        <f>HYPERLINK("https://klasma.github.io/Logging_1880/klagomål/A 17074-2024 FSC-klagomål.docx", "A 17074-2024")</f>
        <v/>
      </c>
      <c r="W119">
        <f>HYPERLINK("https://klasma.github.io/Logging_1880/klagomålsmail/A 17074-2024 FSC-klagomål mail.docx", "A 17074-2024")</f>
        <v/>
      </c>
      <c r="X119">
        <f>HYPERLINK("https://klasma.github.io/Logging_1880/tillsyn/A 17074-2024 tillsynsbegäran.docx", "A 17074-2024")</f>
        <v/>
      </c>
      <c r="Y119">
        <f>HYPERLINK("https://klasma.github.io/Logging_1880/tillsynsmail/A 17074-2024 tillsynsbegäran mail.docx", "A 17074-2024")</f>
        <v/>
      </c>
    </row>
    <row r="120" ht="15" customHeight="1">
      <c r="A120" t="inlineStr">
        <is>
          <t>A 27550-2023</t>
        </is>
      </c>
      <c r="B120" s="1" t="n">
        <v>45092</v>
      </c>
      <c r="C120" s="1" t="n">
        <v>45952</v>
      </c>
      <c r="D120" t="inlineStr">
        <is>
          <t>ÖREBRO LÄN</t>
        </is>
      </c>
      <c r="E120" t="inlineStr">
        <is>
          <t>ASKERSUND</t>
        </is>
      </c>
      <c r="G120" t="n">
        <v>3.6</v>
      </c>
      <c r="H120" t="n">
        <v>0</v>
      </c>
      <c r="I120" t="n">
        <v>2</v>
      </c>
      <c r="J120" t="n">
        <v>1</v>
      </c>
      <c r="K120" t="n">
        <v>0</v>
      </c>
      <c r="L120" t="n">
        <v>0</v>
      </c>
      <c r="M120" t="n">
        <v>0</v>
      </c>
      <c r="N120" t="n">
        <v>0</v>
      </c>
      <c r="O120" t="n">
        <v>1</v>
      </c>
      <c r="P120" t="n">
        <v>0</v>
      </c>
      <c r="Q120" t="n">
        <v>3</v>
      </c>
      <c r="R120" s="2" t="inlineStr">
        <is>
          <t>Tallticka
Dropptaggsvamp
Vedticka</t>
        </is>
      </c>
      <c r="S120">
        <f>HYPERLINK("https://klasma.github.io/Logging_1882/artfynd/A 27550-2023 artfynd.xlsx", "A 27550-2023")</f>
        <v/>
      </c>
      <c r="T120">
        <f>HYPERLINK("https://klasma.github.io/Logging_1882/kartor/A 27550-2023 karta.png", "A 27550-2023")</f>
        <v/>
      </c>
      <c r="V120">
        <f>HYPERLINK("https://klasma.github.io/Logging_1882/klagomål/A 27550-2023 FSC-klagomål.docx", "A 27550-2023")</f>
        <v/>
      </c>
      <c r="W120">
        <f>HYPERLINK("https://klasma.github.io/Logging_1882/klagomålsmail/A 27550-2023 FSC-klagomål mail.docx", "A 27550-2023")</f>
        <v/>
      </c>
      <c r="X120">
        <f>HYPERLINK("https://klasma.github.io/Logging_1882/tillsyn/A 27550-2023 tillsynsbegäran.docx", "A 27550-2023")</f>
        <v/>
      </c>
      <c r="Y120">
        <f>HYPERLINK("https://klasma.github.io/Logging_1882/tillsynsmail/A 27550-2023 tillsynsbegäran mail.docx", "A 27550-2023")</f>
        <v/>
      </c>
    </row>
    <row r="121" ht="15" customHeight="1">
      <c r="A121" t="inlineStr">
        <is>
          <t>A 38916-2023</t>
        </is>
      </c>
      <c r="B121" s="1" t="n">
        <v>45163</v>
      </c>
      <c r="C121" s="1" t="n">
        <v>45952</v>
      </c>
      <c r="D121" t="inlineStr">
        <is>
          <t>ÖREBRO LÄN</t>
        </is>
      </c>
      <c r="E121" t="inlineStr">
        <is>
          <t>DEGERFORS</t>
        </is>
      </c>
      <c r="F121" t="inlineStr">
        <is>
          <t>Sveaskog</t>
        </is>
      </c>
      <c r="G121" t="n">
        <v>4.3</v>
      </c>
      <c r="H121" t="n">
        <v>2</v>
      </c>
      <c r="I121" t="n">
        <v>1</v>
      </c>
      <c r="J121" t="n">
        <v>1</v>
      </c>
      <c r="K121" t="n">
        <v>0</v>
      </c>
      <c r="L121" t="n">
        <v>0</v>
      </c>
      <c r="M121" t="n">
        <v>0</v>
      </c>
      <c r="N121" t="n">
        <v>0</v>
      </c>
      <c r="O121" t="n">
        <v>1</v>
      </c>
      <c r="P121" t="n">
        <v>0</v>
      </c>
      <c r="Q121" t="n">
        <v>3</v>
      </c>
      <c r="R121" s="2" t="inlineStr">
        <is>
          <t>Tretåig hackspett
Grönpyrola
Tjäder</t>
        </is>
      </c>
      <c r="S121">
        <f>HYPERLINK("https://klasma.github.io/Logging_1862/artfynd/A 38916-2023 artfynd.xlsx", "A 38916-2023")</f>
        <v/>
      </c>
      <c r="T121">
        <f>HYPERLINK("https://klasma.github.io/Logging_1862/kartor/A 38916-2023 karta.png", "A 38916-2023")</f>
        <v/>
      </c>
      <c r="V121">
        <f>HYPERLINK("https://klasma.github.io/Logging_1862/klagomål/A 38916-2023 FSC-klagomål.docx", "A 38916-2023")</f>
        <v/>
      </c>
      <c r="W121">
        <f>HYPERLINK("https://klasma.github.io/Logging_1862/klagomålsmail/A 38916-2023 FSC-klagomål mail.docx", "A 38916-2023")</f>
        <v/>
      </c>
      <c r="X121">
        <f>HYPERLINK("https://klasma.github.io/Logging_1862/tillsyn/A 38916-2023 tillsynsbegäran.docx", "A 38916-2023")</f>
        <v/>
      </c>
      <c r="Y121">
        <f>HYPERLINK("https://klasma.github.io/Logging_1862/tillsynsmail/A 38916-2023 tillsynsbegäran mail.docx", "A 38916-2023")</f>
        <v/>
      </c>
      <c r="Z121">
        <f>HYPERLINK("https://klasma.github.io/Logging_1862/fåglar/A 38916-2023 prioriterade fågelarter.docx", "A 38916-2023")</f>
        <v/>
      </c>
    </row>
    <row r="122" ht="15" customHeight="1">
      <c r="A122" t="inlineStr">
        <is>
          <t>A 49945-2025</t>
        </is>
      </c>
      <c r="B122" s="1" t="n">
        <v>45940.69754629629</v>
      </c>
      <c r="C122" s="1" t="n">
        <v>45952</v>
      </c>
      <c r="D122" t="inlineStr">
        <is>
          <t>ÖREBRO LÄN</t>
        </is>
      </c>
      <c r="E122" t="inlineStr">
        <is>
          <t>LINDESBERG</t>
        </is>
      </c>
      <c r="F122" t="inlineStr">
        <is>
          <t>Sveaskog</t>
        </is>
      </c>
      <c r="G122" t="n">
        <v>2.4</v>
      </c>
      <c r="H122" t="n">
        <v>1</v>
      </c>
      <c r="I122" t="n">
        <v>1</v>
      </c>
      <c r="J122" t="n">
        <v>1</v>
      </c>
      <c r="K122" t="n">
        <v>0</v>
      </c>
      <c r="L122" t="n">
        <v>0</v>
      </c>
      <c r="M122" t="n">
        <v>0</v>
      </c>
      <c r="N122" t="n">
        <v>0</v>
      </c>
      <c r="O122" t="n">
        <v>1</v>
      </c>
      <c r="P122" t="n">
        <v>0</v>
      </c>
      <c r="Q122" t="n">
        <v>3</v>
      </c>
      <c r="R122" s="2" t="inlineStr">
        <is>
          <t>Motaggsvamp
Zontaggsvamp
Mattlummer</t>
        </is>
      </c>
      <c r="S122">
        <f>HYPERLINK("https://klasma.github.io/Logging_1885/artfynd/A 49945-2025 artfynd.xlsx", "A 49945-2025")</f>
        <v/>
      </c>
      <c r="T122">
        <f>HYPERLINK("https://klasma.github.io/Logging_1885/kartor/A 49945-2025 karta.png", "A 49945-2025")</f>
        <v/>
      </c>
      <c r="V122">
        <f>HYPERLINK("https://klasma.github.io/Logging_1885/klagomål/A 49945-2025 FSC-klagomål.docx", "A 49945-2025")</f>
        <v/>
      </c>
      <c r="W122">
        <f>HYPERLINK("https://klasma.github.io/Logging_1885/klagomålsmail/A 49945-2025 FSC-klagomål mail.docx", "A 49945-2025")</f>
        <v/>
      </c>
      <c r="X122">
        <f>HYPERLINK("https://klasma.github.io/Logging_1885/tillsyn/A 49945-2025 tillsynsbegäran.docx", "A 49945-2025")</f>
        <v/>
      </c>
      <c r="Y122">
        <f>HYPERLINK("https://klasma.github.io/Logging_1885/tillsynsmail/A 49945-2025 tillsynsbegäran mail.docx", "A 49945-2025")</f>
        <v/>
      </c>
    </row>
    <row r="123" ht="15" customHeight="1">
      <c r="A123" t="inlineStr">
        <is>
          <t>A 41519-2023</t>
        </is>
      </c>
      <c r="B123" s="1" t="n">
        <v>45175</v>
      </c>
      <c r="C123" s="1" t="n">
        <v>45952</v>
      </c>
      <c r="D123" t="inlineStr">
        <is>
          <t>ÖREBRO LÄN</t>
        </is>
      </c>
      <c r="E123" t="inlineStr">
        <is>
          <t>DEGERFORS</t>
        </is>
      </c>
      <c r="F123" t="inlineStr">
        <is>
          <t>Sveaskog</t>
        </is>
      </c>
      <c r="G123" t="n">
        <v>3.3</v>
      </c>
      <c r="H123" t="n">
        <v>2</v>
      </c>
      <c r="I123" t="n">
        <v>1</v>
      </c>
      <c r="J123" t="n">
        <v>1</v>
      </c>
      <c r="K123" t="n">
        <v>0</v>
      </c>
      <c r="L123" t="n">
        <v>0</v>
      </c>
      <c r="M123" t="n">
        <v>0</v>
      </c>
      <c r="N123" t="n">
        <v>0</v>
      </c>
      <c r="O123" t="n">
        <v>1</v>
      </c>
      <c r="P123" t="n">
        <v>0</v>
      </c>
      <c r="Q123" t="n">
        <v>3</v>
      </c>
      <c r="R123" s="2" t="inlineStr">
        <is>
          <t>Tretåig hackspett
Grönpyrola
Fläcknycklar</t>
        </is>
      </c>
      <c r="S123">
        <f>HYPERLINK("https://klasma.github.io/Logging_1862/artfynd/A 41519-2023 artfynd.xlsx", "A 41519-2023")</f>
        <v/>
      </c>
      <c r="T123">
        <f>HYPERLINK("https://klasma.github.io/Logging_1862/kartor/A 41519-2023 karta.png", "A 41519-2023")</f>
        <v/>
      </c>
      <c r="V123">
        <f>HYPERLINK("https://klasma.github.io/Logging_1862/klagomål/A 41519-2023 FSC-klagomål.docx", "A 41519-2023")</f>
        <v/>
      </c>
      <c r="W123">
        <f>HYPERLINK("https://klasma.github.io/Logging_1862/klagomålsmail/A 41519-2023 FSC-klagomål mail.docx", "A 41519-2023")</f>
        <v/>
      </c>
      <c r="X123">
        <f>HYPERLINK("https://klasma.github.io/Logging_1862/tillsyn/A 41519-2023 tillsynsbegäran.docx", "A 41519-2023")</f>
        <v/>
      </c>
      <c r="Y123">
        <f>HYPERLINK("https://klasma.github.io/Logging_1862/tillsynsmail/A 41519-2023 tillsynsbegäran mail.docx", "A 41519-2023")</f>
        <v/>
      </c>
      <c r="Z123">
        <f>HYPERLINK("https://klasma.github.io/Logging_1862/fåglar/A 41519-2023 prioriterade fågelarter.docx", "A 41519-2023")</f>
        <v/>
      </c>
    </row>
    <row r="124" ht="15" customHeight="1">
      <c r="A124" t="inlineStr">
        <is>
          <t>A 34283-2024</t>
        </is>
      </c>
      <c r="B124" s="1" t="n">
        <v>45524</v>
      </c>
      <c r="C124" s="1" t="n">
        <v>45952</v>
      </c>
      <c r="D124" t="inlineStr">
        <is>
          <t>ÖREBRO LÄN</t>
        </is>
      </c>
      <c r="E124" t="inlineStr">
        <is>
          <t>LAXÅ</t>
        </is>
      </c>
      <c r="G124" t="n">
        <v>1.8</v>
      </c>
      <c r="H124" t="n">
        <v>3</v>
      </c>
      <c r="I124" t="n">
        <v>0</v>
      </c>
      <c r="J124" t="n">
        <v>0</v>
      </c>
      <c r="K124" t="n">
        <v>0</v>
      </c>
      <c r="L124" t="n">
        <v>0</v>
      </c>
      <c r="M124" t="n">
        <v>0</v>
      </c>
      <c r="N124" t="n">
        <v>0</v>
      </c>
      <c r="O124" t="n">
        <v>0</v>
      </c>
      <c r="P124" t="n">
        <v>0</v>
      </c>
      <c r="Q124" t="n">
        <v>3</v>
      </c>
      <c r="R124" s="2" t="inlineStr">
        <is>
          <t>Grönsiska
Järnsparv
Kungsfågel</t>
        </is>
      </c>
      <c r="S124">
        <f>HYPERLINK("https://klasma.github.io/Logging_1860/artfynd/A 34283-2024 artfynd.xlsx", "A 34283-2024")</f>
        <v/>
      </c>
      <c r="T124">
        <f>HYPERLINK("https://klasma.github.io/Logging_1860/kartor/A 34283-2024 karta.png", "A 34283-2024")</f>
        <v/>
      </c>
      <c r="V124">
        <f>HYPERLINK("https://klasma.github.io/Logging_1860/klagomål/A 34283-2024 FSC-klagomål.docx", "A 34283-2024")</f>
        <v/>
      </c>
      <c r="W124">
        <f>HYPERLINK("https://klasma.github.io/Logging_1860/klagomålsmail/A 34283-2024 FSC-klagomål mail.docx", "A 34283-2024")</f>
        <v/>
      </c>
      <c r="X124">
        <f>HYPERLINK("https://klasma.github.io/Logging_1860/tillsyn/A 34283-2024 tillsynsbegäran.docx", "A 34283-2024")</f>
        <v/>
      </c>
      <c r="Y124">
        <f>HYPERLINK("https://klasma.github.io/Logging_1860/tillsynsmail/A 34283-2024 tillsynsbegäran mail.docx", "A 34283-2024")</f>
        <v/>
      </c>
      <c r="Z124">
        <f>HYPERLINK("https://klasma.github.io/Logging_1860/fåglar/A 34283-2024 prioriterade fågelarter.docx", "A 34283-2024")</f>
        <v/>
      </c>
    </row>
    <row r="125" ht="15" customHeight="1">
      <c r="A125" t="inlineStr">
        <is>
          <t>A 42636-2025</t>
        </is>
      </c>
      <c r="B125" s="1" t="n">
        <v>45905.90789351852</v>
      </c>
      <c r="C125" s="1" t="n">
        <v>45952</v>
      </c>
      <c r="D125" t="inlineStr">
        <is>
          <t>ÖREBRO LÄN</t>
        </is>
      </c>
      <c r="E125" t="inlineStr">
        <is>
          <t>LINDESBERG</t>
        </is>
      </c>
      <c r="F125" t="inlineStr">
        <is>
          <t>Sveaskog</t>
        </is>
      </c>
      <c r="G125" t="n">
        <v>1.9</v>
      </c>
      <c r="H125" t="n">
        <v>1</v>
      </c>
      <c r="I125" t="n">
        <v>0</v>
      </c>
      <c r="J125" t="n">
        <v>2</v>
      </c>
      <c r="K125" t="n">
        <v>0</v>
      </c>
      <c r="L125" t="n">
        <v>0</v>
      </c>
      <c r="M125" t="n">
        <v>0</v>
      </c>
      <c r="N125" t="n">
        <v>0</v>
      </c>
      <c r="O125" t="n">
        <v>2</v>
      </c>
      <c r="P125" t="n">
        <v>0</v>
      </c>
      <c r="Q125" t="n">
        <v>3</v>
      </c>
      <c r="R125" s="2" t="inlineStr">
        <is>
          <t>Motaggsvamp
Ullticka
Revlummer</t>
        </is>
      </c>
      <c r="S125">
        <f>HYPERLINK("https://klasma.github.io/Logging_1885/artfynd/A 42636-2025 artfynd.xlsx", "A 42636-2025")</f>
        <v/>
      </c>
      <c r="T125">
        <f>HYPERLINK("https://klasma.github.io/Logging_1885/kartor/A 42636-2025 karta.png", "A 42636-2025")</f>
        <v/>
      </c>
      <c r="U125">
        <f>HYPERLINK("https://klasma.github.io/Logging_1885/knärot/A 42636-2025 karta knärot.png", "A 42636-2025")</f>
        <v/>
      </c>
      <c r="V125">
        <f>HYPERLINK("https://klasma.github.io/Logging_1885/klagomål/A 42636-2025 FSC-klagomål.docx", "A 42636-2025")</f>
        <v/>
      </c>
      <c r="W125">
        <f>HYPERLINK("https://klasma.github.io/Logging_1885/klagomålsmail/A 42636-2025 FSC-klagomål mail.docx", "A 42636-2025")</f>
        <v/>
      </c>
      <c r="X125">
        <f>HYPERLINK("https://klasma.github.io/Logging_1885/tillsyn/A 42636-2025 tillsynsbegäran.docx", "A 42636-2025")</f>
        <v/>
      </c>
      <c r="Y125">
        <f>HYPERLINK("https://klasma.github.io/Logging_1885/tillsynsmail/A 42636-2025 tillsynsbegäran mail.docx", "A 42636-2025")</f>
        <v/>
      </c>
    </row>
    <row r="126" ht="15" customHeight="1">
      <c r="A126" t="inlineStr">
        <is>
          <t>A 42628-2025</t>
        </is>
      </c>
      <c r="B126" s="1" t="n">
        <v>45905.83755787037</v>
      </c>
      <c r="C126" s="1" t="n">
        <v>45952</v>
      </c>
      <c r="D126" t="inlineStr">
        <is>
          <t>ÖREBRO LÄN</t>
        </is>
      </c>
      <c r="E126" t="inlineStr">
        <is>
          <t>LINDESBERG</t>
        </is>
      </c>
      <c r="F126" t="inlineStr">
        <is>
          <t>Sveaskog</t>
        </is>
      </c>
      <c r="G126" t="n">
        <v>3.7</v>
      </c>
      <c r="H126" t="n">
        <v>0</v>
      </c>
      <c r="I126" t="n">
        <v>0</v>
      </c>
      <c r="J126" t="n">
        <v>2</v>
      </c>
      <c r="K126" t="n">
        <v>1</v>
      </c>
      <c r="L126" t="n">
        <v>0</v>
      </c>
      <c r="M126" t="n">
        <v>0</v>
      </c>
      <c r="N126" t="n">
        <v>0</v>
      </c>
      <c r="O126" t="n">
        <v>3</v>
      </c>
      <c r="P126" t="n">
        <v>1</v>
      </c>
      <c r="Q126" t="n">
        <v>3</v>
      </c>
      <c r="R126" s="2" t="inlineStr">
        <is>
          <t>Jättemusseron
Backtimjan
Tallticka</t>
        </is>
      </c>
      <c r="S126">
        <f>HYPERLINK("https://klasma.github.io/Logging_1885/artfynd/A 42628-2025 artfynd.xlsx", "A 42628-2025")</f>
        <v/>
      </c>
      <c r="T126">
        <f>HYPERLINK("https://klasma.github.io/Logging_1885/kartor/A 42628-2025 karta.png", "A 42628-2025")</f>
        <v/>
      </c>
      <c r="V126">
        <f>HYPERLINK("https://klasma.github.io/Logging_1885/klagomål/A 42628-2025 FSC-klagomål.docx", "A 42628-2025")</f>
        <v/>
      </c>
      <c r="W126">
        <f>HYPERLINK("https://klasma.github.io/Logging_1885/klagomålsmail/A 42628-2025 FSC-klagomål mail.docx", "A 42628-2025")</f>
        <v/>
      </c>
      <c r="X126">
        <f>HYPERLINK("https://klasma.github.io/Logging_1885/tillsyn/A 42628-2025 tillsynsbegäran.docx", "A 42628-2025")</f>
        <v/>
      </c>
      <c r="Y126">
        <f>HYPERLINK("https://klasma.github.io/Logging_1885/tillsynsmail/A 42628-2025 tillsynsbegäran mail.docx", "A 42628-2025")</f>
        <v/>
      </c>
    </row>
    <row r="127" ht="15" customHeight="1">
      <c r="A127" t="inlineStr">
        <is>
          <t>A 35098-2025</t>
        </is>
      </c>
      <c r="B127" s="1" t="n">
        <v>45852.5469212963</v>
      </c>
      <c r="C127" s="1" t="n">
        <v>45952</v>
      </c>
      <c r="D127" t="inlineStr">
        <is>
          <t>ÖREBRO LÄN</t>
        </is>
      </c>
      <c r="E127" t="inlineStr">
        <is>
          <t>ÖREBRO</t>
        </is>
      </c>
      <c r="F127" t="inlineStr">
        <is>
          <t>Allmännings- och besparingsskogar</t>
        </is>
      </c>
      <c r="G127" t="n">
        <v>28.9</v>
      </c>
      <c r="H127" t="n">
        <v>2</v>
      </c>
      <c r="I127" t="n">
        <v>1</v>
      </c>
      <c r="J127" t="n">
        <v>1</v>
      </c>
      <c r="K127" t="n">
        <v>0</v>
      </c>
      <c r="L127" t="n">
        <v>0</v>
      </c>
      <c r="M127" t="n">
        <v>0</v>
      </c>
      <c r="N127" t="n">
        <v>0</v>
      </c>
      <c r="O127" t="n">
        <v>1</v>
      </c>
      <c r="P127" t="n">
        <v>0</v>
      </c>
      <c r="Q127" t="n">
        <v>3</v>
      </c>
      <c r="R127" s="2" t="inlineStr">
        <is>
          <t>Talltita
Grönpyrola
Revlummer</t>
        </is>
      </c>
      <c r="S127">
        <f>HYPERLINK("https://klasma.github.io/Logging_1880/artfynd/A 35098-2025 artfynd.xlsx", "A 35098-2025")</f>
        <v/>
      </c>
      <c r="T127">
        <f>HYPERLINK("https://klasma.github.io/Logging_1880/kartor/A 35098-2025 karta.png", "A 35098-2025")</f>
        <v/>
      </c>
      <c r="V127">
        <f>HYPERLINK("https://klasma.github.io/Logging_1880/klagomål/A 35098-2025 FSC-klagomål.docx", "A 35098-2025")</f>
        <v/>
      </c>
      <c r="W127">
        <f>HYPERLINK("https://klasma.github.io/Logging_1880/klagomålsmail/A 35098-2025 FSC-klagomål mail.docx", "A 35098-2025")</f>
        <v/>
      </c>
      <c r="X127">
        <f>HYPERLINK("https://klasma.github.io/Logging_1880/tillsyn/A 35098-2025 tillsynsbegäran.docx", "A 35098-2025")</f>
        <v/>
      </c>
      <c r="Y127">
        <f>HYPERLINK("https://klasma.github.io/Logging_1880/tillsynsmail/A 35098-2025 tillsynsbegäran mail.docx", "A 35098-2025")</f>
        <v/>
      </c>
      <c r="Z127">
        <f>HYPERLINK("https://klasma.github.io/Logging_1880/fåglar/A 35098-2025 prioriterade fågelarter.docx", "A 35098-2025")</f>
        <v/>
      </c>
    </row>
    <row r="128" ht="15" customHeight="1">
      <c r="A128" t="inlineStr">
        <is>
          <t>A 54020-2024</t>
        </is>
      </c>
      <c r="B128" s="1" t="n">
        <v>45616.38605324074</v>
      </c>
      <c r="C128" s="1" t="n">
        <v>45952</v>
      </c>
      <c r="D128" t="inlineStr">
        <is>
          <t>ÖREBRO LÄN</t>
        </is>
      </c>
      <c r="E128" t="inlineStr">
        <is>
          <t>LINDESBERG</t>
        </is>
      </c>
      <c r="G128" t="n">
        <v>2.8</v>
      </c>
      <c r="H128" t="n">
        <v>1</v>
      </c>
      <c r="I128" t="n">
        <v>1</v>
      </c>
      <c r="J128" t="n">
        <v>2</v>
      </c>
      <c r="K128" t="n">
        <v>0</v>
      </c>
      <c r="L128" t="n">
        <v>0</v>
      </c>
      <c r="M128" t="n">
        <v>0</v>
      </c>
      <c r="N128" t="n">
        <v>0</v>
      </c>
      <c r="O128" t="n">
        <v>2</v>
      </c>
      <c r="P128" t="n">
        <v>0</v>
      </c>
      <c r="Q128" t="n">
        <v>3</v>
      </c>
      <c r="R128" s="2" t="inlineStr">
        <is>
          <t>Mindre hackspett
Skogsklocka
Kambräken</t>
        </is>
      </c>
      <c r="S128">
        <f>HYPERLINK("https://klasma.github.io/Logging_1885/artfynd/A 54020-2024 artfynd.xlsx", "A 54020-2024")</f>
        <v/>
      </c>
      <c r="T128">
        <f>HYPERLINK("https://klasma.github.io/Logging_1885/kartor/A 54020-2024 karta.png", "A 54020-2024")</f>
        <v/>
      </c>
      <c r="V128">
        <f>HYPERLINK("https://klasma.github.io/Logging_1885/klagomål/A 54020-2024 FSC-klagomål.docx", "A 54020-2024")</f>
        <v/>
      </c>
      <c r="W128">
        <f>HYPERLINK("https://klasma.github.io/Logging_1885/klagomålsmail/A 54020-2024 FSC-klagomål mail.docx", "A 54020-2024")</f>
        <v/>
      </c>
      <c r="X128">
        <f>HYPERLINK("https://klasma.github.io/Logging_1885/tillsyn/A 54020-2024 tillsynsbegäran.docx", "A 54020-2024")</f>
        <v/>
      </c>
      <c r="Y128">
        <f>HYPERLINK("https://klasma.github.io/Logging_1885/tillsynsmail/A 54020-2024 tillsynsbegäran mail.docx", "A 54020-2024")</f>
        <v/>
      </c>
      <c r="Z128">
        <f>HYPERLINK("https://klasma.github.io/Logging_1885/fåglar/A 54020-2024 prioriterade fågelarter.docx", "A 54020-2024")</f>
        <v/>
      </c>
    </row>
    <row r="129" ht="15" customHeight="1">
      <c r="A129" t="inlineStr">
        <is>
          <t>A 50580-2022</t>
        </is>
      </c>
      <c r="B129" s="1" t="n">
        <v>44861</v>
      </c>
      <c r="C129" s="1" t="n">
        <v>45952</v>
      </c>
      <c r="D129" t="inlineStr">
        <is>
          <t>ÖREBRO LÄN</t>
        </is>
      </c>
      <c r="E129" t="inlineStr">
        <is>
          <t>LAXÅ</t>
        </is>
      </c>
      <c r="G129" t="n">
        <v>15.9</v>
      </c>
      <c r="H129" t="n">
        <v>0</v>
      </c>
      <c r="I129" t="n">
        <v>2</v>
      </c>
      <c r="J129" t="n">
        <v>1</v>
      </c>
      <c r="K129" t="n">
        <v>0</v>
      </c>
      <c r="L129" t="n">
        <v>0</v>
      </c>
      <c r="M129" t="n">
        <v>0</v>
      </c>
      <c r="N129" t="n">
        <v>0</v>
      </c>
      <c r="O129" t="n">
        <v>1</v>
      </c>
      <c r="P129" t="n">
        <v>0</v>
      </c>
      <c r="Q129" t="n">
        <v>3</v>
      </c>
      <c r="R129" s="2" t="inlineStr">
        <is>
          <t>Tallticka
Blomkålssvamp
Dropptaggsvamp</t>
        </is>
      </c>
      <c r="S129">
        <f>HYPERLINK("https://klasma.github.io/Logging_1860/artfynd/A 50580-2022 artfynd.xlsx", "A 50580-2022")</f>
        <v/>
      </c>
      <c r="T129">
        <f>HYPERLINK("https://klasma.github.io/Logging_1860/kartor/A 50580-2022 karta.png", "A 50580-2022")</f>
        <v/>
      </c>
      <c r="V129">
        <f>HYPERLINK("https://klasma.github.io/Logging_1860/klagomål/A 50580-2022 FSC-klagomål.docx", "A 50580-2022")</f>
        <v/>
      </c>
      <c r="W129">
        <f>HYPERLINK("https://klasma.github.io/Logging_1860/klagomålsmail/A 50580-2022 FSC-klagomål mail.docx", "A 50580-2022")</f>
        <v/>
      </c>
      <c r="X129">
        <f>HYPERLINK("https://klasma.github.io/Logging_1860/tillsyn/A 50580-2022 tillsynsbegäran.docx", "A 50580-2022")</f>
        <v/>
      </c>
      <c r="Y129">
        <f>HYPERLINK("https://klasma.github.io/Logging_1860/tillsynsmail/A 50580-2022 tillsynsbegäran mail.docx", "A 50580-2022")</f>
        <v/>
      </c>
    </row>
    <row r="130" ht="15" customHeight="1">
      <c r="A130" t="inlineStr">
        <is>
          <t>A 54112-2022</t>
        </is>
      </c>
      <c r="B130" s="1" t="n">
        <v>44879</v>
      </c>
      <c r="C130" s="1" t="n">
        <v>45952</v>
      </c>
      <c r="D130" t="inlineStr">
        <is>
          <t>ÖREBRO LÄN</t>
        </is>
      </c>
      <c r="E130" t="inlineStr">
        <is>
          <t>KUMLA</t>
        </is>
      </c>
      <c r="F130" t="inlineStr">
        <is>
          <t>Kommuner</t>
        </is>
      </c>
      <c r="G130" t="n">
        <v>2</v>
      </c>
      <c r="H130" t="n">
        <v>3</v>
      </c>
      <c r="I130" t="n">
        <v>0</v>
      </c>
      <c r="J130" t="n">
        <v>2</v>
      </c>
      <c r="K130" t="n">
        <v>0</v>
      </c>
      <c r="L130" t="n">
        <v>0</v>
      </c>
      <c r="M130" t="n">
        <v>0</v>
      </c>
      <c r="N130" t="n">
        <v>0</v>
      </c>
      <c r="O130" t="n">
        <v>2</v>
      </c>
      <c r="P130" t="n">
        <v>0</v>
      </c>
      <c r="Q130" t="n">
        <v>3</v>
      </c>
      <c r="R130" s="2" t="inlineStr">
        <is>
          <t>Svartvit flugsnappare
Sävsparv
Skogsödla</t>
        </is>
      </c>
      <c r="S130">
        <f>HYPERLINK("https://klasma.github.io/Logging_1881/artfynd/A 54112-2022 artfynd.xlsx", "A 54112-2022")</f>
        <v/>
      </c>
      <c r="T130">
        <f>HYPERLINK("https://klasma.github.io/Logging_1881/kartor/A 54112-2022 karta.png", "A 54112-2022")</f>
        <v/>
      </c>
      <c r="V130">
        <f>HYPERLINK("https://klasma.github.io/Logging_1881/klagomål/A 54112-2022 FSC-klagomål.docx", "A 54112-2022")</f>
        <v/>
      </c>
      <c r="W130">
        <f>HYPERLINK("https://klasma.github.io/Logging_1881/klagomålsmail/A 54112-2022 FSC-klagomål mail.docx", "A 54112-2022")</f>
        <v/>
      </c>
      <c r="X130">
        <f>HYPERLINK("https://klasma.github.io/Logging_1881/tillsyn/A 54112-2022 tillsynsbegäran.docx", "A 54112-2022")</f>
        <v/>
      </c>
      <c r="Y130">
        <f>HYPERLINK("https://klasma.github.io/Logging_1881/tillsynsmail/A 54112-2022 tillsynsbegäran mail.docx", "A 54112-2022")</f>
        <v/>
      </c>
      <c r="Z130">
        <f>HYPERLINK("https://klasma.github.io/Logging_1881/fåglar/A 54112-2022 prioriterade fågelarter.docx", "A 54112-2022")</f>
        <v/>
      </c>
    </row>
    <row r="131" ht="15" customHeight="1">
      <c r="A131" t="inlineStr">
        <is>
          <t>A 34279-2024</t>
        </is>
      </c>
      <c r="B131" s="1" t="n">
        <v>45524</v>
      </c>
      <c r="C131" s="1" t="n">
        <v>45952</v>
      </c>
      <c r="D131" t="inlineStr">
        <is>
          <t>ÖREBRO LÄN</t>
        </is>
      </c>
      <c r="E131" t="inlineStr">
        <is>
          <t>LAXÅ</t>
        </is>
      </c>
      <c r="G131" t="n">
        <v>0.9</v>
      </c>
      <c r="H131" t="n">
        <v>3</v>
      </c>
      <c r="I131" t="n">
        <v>0</v>
      </c>
      <c r="J131" t="n">
        <v>0</v>
      </c>
      <c r="K131" t="n">
        <v>0</v>
      </c>
      <c r="L131" t="n">
        <v>0</v>
      </c>
      <c r="M131" t="n">
        <v>0</v>
      </c>
      <c r="N131" t="n">
        <v>0</v>
      </c>
      <c r="O131" t="n">
        <v>0</v>
      </c>
      <c r="P131" t="n">
        <v>0</v>
      </c>
      <c r="Q131" t="n">
        <v>3</v>
      </c>
      <c r="R131" s="2" t="inlineStr">
        <is>
          <t>Gråkråka
Grönsiska
Järnsparv</t>
        </is>
      </c>
      <c r="S131">
        <f>HYPERLINK("https://klasma.github.io/Logging_1860/artfynd/A 34279-2024 artfynd.xlsx", "A 34279-2024")</f>
        <v/>
      </c>
      <c r="T131">
        <f>HYPERLINK("https://klasma.github.io/Logging_1860/kartor/A 34279-2024 karta.png", "A 34279-2024")</f>
        <v/>
      </c>
      <c r="V131">
        <f>HYPERLINK("https://klasma.github.io/Logging_1860/klagomål/A 34279-2024 FSC-klagomål.docx", "A 34279-2024")</f>
        <v/>
      </c>
      <c r="W131">
        <f>HYPERLINK("https://klasma.github.io/Logging_1860/klagomålsmail/A 34279-2024 FSC-klagomål mail.docx", "A 34279-2024")</f>
        <v/>
      </c>
      <c r="X131">
        <f>HYPERLINK("https://klasma.github.io/Logging_1860/tillsyn/A 34279-2024 tillsynsbegäran.docx", "A 34279-2024")</f>
        <v/>
      </c>
      <c r="Y131">
        <f>HYPERLINK("https://klasma.github.io/Logging_1860/tillsynsmail/A 34279-2024 tillsynsbegäran mail.docx", "A 34279-2024")</f>
        <v/>
      </c>
      <c r="Z131">
        <f>HYPERLINK("https://klasma.github.io/Logging_1860/fåglar/A 34279-2024 prioriterade fågelarter.docx", "A 34279-2024")</f>
        <v/>
      </c>
    </row>
    <row r="132" ht="15" customHeight="1">
      <c r="A132" t="inlineStr">
        <is>
          <t>A 45554-2025</t>
        </is>
      </c>
      <c r="B132" s="1" t="n">
        <v>45922.64197916666</v>
      </c>
      <c r="C132" s="1" t="n">
        <v>45952</v>
      </c>
      <c r="D132" t="inlineStr">
        <is>
          <t>ÖREBRO LÄN</t>
        </is>
      </c>
      <c r="E132" t="inlineStr">
        <is>
          <t>ASKERSUND</t>
        </is>
      </c>
      <c r="G132" t="n">
        <v>5.8</v>
      </c>
      <c r="H132" t="n">
        <v>1</v>
      </c>
      <c r="I132" t="n">
        <v>2</v>
      </c>
      <c r="J132" t="n">
        <v>1</v>
      </c>
      <c r="K132" t="n">
        <v>0</v>
      </c>
      <c r="L132" t="n">
        <v>0</v>
      </c>
      <c r="M132" t="n">
        <v>0</v>
      </c>
      <c r="N132" t="n">
        <v>0</v>
      </c>
      <c r="O132" t="n">
        <v>1</v>
      </c>
      <c r="P132" t="n">
        <v>0</v>
      </c>
      <c r="Q132" t="n">
        <v>3</v>
      </c>
      <c r="R132" s="2" t="inlineStr">
        <is>
          <t>Spillkråka
Mindre märgborre
Vågbandad barkbock</t>
        </is>
      </c>
      <c r="S132">
        <f>HYPERLINK("https://klasma.github.io/Logging_1882/artfynd/A 45554-2025 artfynd.xlsx", "A 45554-2025")</f>
        <v/>
      </c>
      <c r="T132">
        <f>HYPERLINK("https://klasma.github.io/Logging_1882/kartor/A 45554-2025 karta.png", "A 45554-2025")</f>
        <v/>
      </c>
      <c r="V132">
        <f>HYPERLINK("https://klasma.github.io/Logging_1882/klagomål/A 45554-2025 FSC-klagomål.docx", "A 45554-2025")</f>
        <v/>
      </c>
      <c r="W132">
        <f>HYPERLINK("https://klasma.github.io/Logging_1882/klagomålsmail/A 45554-2025 FSC-klagomål mail.docx", "A 45554-2025")</f>
        <v/>
      </c>
      <c r="X132">
        <f>HYPERLINK("https://klasma.github.io/Logging_1882/tillsyn/A 45554-2025 tillsynsbegäran.docx", "A 45554-2025")</f>
        <v/>
      </c>
      <c r="Y132">
        <f>HYPERLINK("https://klasma.github.io/Logging_1882/tillsynsmail/A 45554-2025 tillsynsbegäran mail.docx", "A 45554-2025")</f>
        <v/>
      </c>
      <c r="Z132">
        <f>HYPERLINK("https://klasma.github.io/Logging_1882/fåglar/A 45554-2025 prioriterade fågelarter.docx", "A 45554-2025")</f>
        <v/>
      </c>
    </row>
    <row r="133" ht="15" customHeight="1">
      <c r="A133" t="inlineStr">
        <is>
          <t>A 30410-2023</t>
        </is>
      </c>
      <c r="B133" s="1" t="n">
        <v>45111</v>
      </c>
      <c r="C133" s="1" t="n">
        <v>45952</v>
      </c>
      <c r="D133" t="inlineStr">
        <is>
          <t>ÖREBRO LÄN</t>
        </is>
      </c>
      <c r="E133" t="inlineStr">
        <is>
          <t>ASKERSUND</t>
        </is>
      </c>
      <c r="F133" t="inlineStr">
        <is>
          <t>Sveaskog</t>
        </is>
      </c>
      <c r="G133" t="n">
        <v>4.9</v>
      </c>
      <c r="H133" t="n">
        <v>1</v>
      </c>
      <c r="I133" t="n">
        <v>0</v>
      </c>
      <c r="J133" t="n">
        <v>1</v>
      </c>
      <c r="K133" t="n">
        <v>0</v>
      </c>
      <c r="L133" t="n">
        <v>1</v>
      </c>
      <c r="M133" t="n">
        <v>0</v>
      </c>
      <c r="N133" t="n">
        <v>0</v>
      </c>
      <c r="O133" t="n">
        <v>2</v>
      </c>
      <c r="P133" t="n">
        <v>1</v>
      </c>
      <c r="Q133" t="n">
        <v>3</v>
      </c>
      <c r="R133" s="2" t="inlineStr">
        <is>
          <t>Ask
Slåtterfibbla
Blåsippa</t>
        </is>
      </c>
      <c r="S133">
        <f>HYPERLINK("https://klasma.github.io/Logging_1882/artfynd/A 30410-2023 artfynd.xlsx", "A 30410-2023")</f>
        <v/>
      </c>
      <c r="T133">
        <f>HYPERLINK("https://klasma.github.io/Logging_1882/kartor/A 30410-2023 karta.png", "A 30410-2023")</f>
        <v/>
      </c>
      <c r="V133">
        <f>HYPERLINK("https://klasma.github.io/Logging_1882/klagomål/A 30410-2023 FSC-klagomål.docx", "A 30410-2023")</f>
        <v/>
      </c>
      <c r="W133">
        <f>HYPERLINK("https://klasma.github.io/Logging_1882/klagomålsmail/A 30410-2023 FSC-klagomål mail.docx", "A 30410-2023")</f>
        <v/>
      </c>
      <c r="X133">
        <f>HYPERLINK("https://klasma.github.io/Logging_1882/tillsyn/A 30410-2023 tillsynsbegäran.docx", "A 30410-2023")</f>
        <v/>
      </c>
      <c r="Y133">
        <f>HYPERLINK("https://klasma.github.io/Logging_1882/tillsynsmail/A 30410-2023 tillsynsbegäran mail.docx", "A 30410-2023")</f>
        <v/>
      </c>
    </row>
    <row r="134" ht="15" customHeight="1">
      <c r="A134" t="inlineStr">
        <is>
          <t>A 29478-2022</t>
        </is>
      </c>
      <c r="B134" s="1" t="n">
        <v>44753</v>
      </c>
      <c r="C134" s="1" t="n">
        <v>45952</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HYPERLINK("https://klasma.github.io/Logging_1880/artfynd/A 29478-2022 artfynd.xlsx", "A 29478-2022")</f>
        <v/>
      </c>
      <c r="T134">
        <f>HYPERLINK("https://klasma.github.io/Logging_1880/kartor/A 29478-2022 karta.png", "A 29478-2022")</f>
        <v/>
      </c>
      <c r="V134">
        <f>HYPERLINK("https://klasma.github.io/Logging_1880/klagomål/A 29478-2022 FSC-klagomål.docx", "A 29478-2022")</f>
        <v/>
      </c>
      <c r="W134">
        <f>HYPERLINK("https://klasma.github.io/Logging_1880/klagomålsmail/A 29478-2022 FSC-klagomål mail.docx", "A 29478-2022")</f>
        <v/>
      </c>
      <c r="X134">
        <f>HYPERLINK("https://klasma.github.io/Logging_1880/tillsyn/A 29478-2022 tillsynsbegäran.docx", "A 29478-2022")</f>
        <v/>
      </c>
      <c r="Y134">
        <f>HYPERLINK("https://klasma.github.io/Logging_1880/tillsynsmail/A 29478-2022 tillsynsbegäran mail.docx", "A 29478-2022")</f>
        <v/>
      </c>
    </row>
    <row r="135" ht="15" customHeight="1">
      <c r="A135" t="inlineStr">
        <is>
          <t>A 20335-2021</t>
        </is>
      </c>
      <c r="B135" s="1" t="n">
        <v>44315</v>
      </c>
      <c r="C135" s="1" t="n">
        <v>45952</v>
      </c>
      <c r="D135" t="inlineStr">
        <is>
          <t>ÖREBRO LÄN</t>
        </is>
      </c>
      <c r="E135" t="inlineStr">
        <is>
          <t>HALLSBERG</t>
        </is>
      </c>
      <c r="G135" t="n">
        <v>2.2</v>
      </c>
      <c r="H135" t="n">
        <v>1</v>
      </c>
      <c r="I135" t="n">
        <v>1</v>
      </c>
      <c r="J135" t="n">
        <v>0</v>
      </c>
      <c r="K135" t="n">
        <v>0</v>
      </c>
      <c r="L135" t="n">
        <v>0</v>
      </c>
      <c r="M135" t="n">
        <v>0</v>
      </c>
      <c r="N135" t="n">
        <v>0</v>
      </c>
      <c r="O135" t="n">
        <v>0</v>
      </c>
      <c r="P135" t="n">
        <v>0</v>
      </c>
      <c r="Q135" t="n">
        <v>2</v>
      </c>
      <c r="R135" s="2" t="inlineStr">
        <is>
          <t>Vätteros
Blåsippa</t>
        </is>
      </c>
      <c r="S135">
        <f>HYPERLINK("https://klasma.github.io/Logging_1861/artfynd/A 20335-2021 artfynd.xlsx", "A 20335-2021")</f>
        <v/>
      </c>
      <c r="T135">
        <f>HYPERLINK("https://klasma.github.io/Logging_1861/kartor/A 20335-2021 karta.png", "A 20335-2021")</f>
        <v/>
      </c>
      <c r="V135">
        <f>HYPERLINK("https://klasma.github.io/Logging_1861/klagomål/A 20335-2021 FSC-klagomål.docx", "A 20335-2021")</f>
        <v/>
      </c>
      <c r="W135">
        <f>HYPERLINK("https://klasma.github.io/Logging_1861/klagomålsmail/A 20335-2021 FSC-klagomål mail.docx", "A 20335-2021")</f>
        <v/>
      </c>
      <c r="X135">
        <f>HYPERLINK("https://klasma.github.io/Logging_1861/tillsyn/A 20335-2021 tillsynsbegäran.docx", "A 20335-2021")</f>
        <v/>
      </c>
      <c r="Y135">
        <f>HYPERLINK("https://klasma.github.io/Logging_1861/tillsynsmail/A 20335-2021 tillsynsbegäran mail.docx", "A 20335-2021")</f>
        <v/>
      </c>
    </row>
    <row r="136" ht="15" customHeight="1">
      <c r="A136" t="inlineStr">
        <is>
          <t>A 54302-2022</t>
        </is>
      </c>
      <c r="B136" s="1" t="n">
        <v>44882</v>
      </c>
      <c r="C136" s="1" t="n">
        <v>45952</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22787-2022</t>
        </is>
      </c>
      <c r="B137" s="1" t="n">
        <v>44714</v>
      </c>
      <c r="C137" s="1" t="n">
        <v>45952</v>
      </c>
      <c r="D137" t="inlineStr">
        <is>
          <t>ÖREBRO LÄN</t>
        </is>
      </c>
      <c r="E137" t="inlineStr">
        <is>
          <t>ASKERSUND</t>
        </is>
      </c>
      <c r="G137" t="n">
        <v>3.7</v>
      </c>
      <c r="H137" t="n">
        <v>1</v>
      </c>
      <c r="I137" t="n">
        <v>1</v>
      </c>
      <c r="J137" t="n">
        <v>0</v>
      </c>
      <c r="K137" t="n">
        <v>0</v>
      </c>
      <c r="L137" t="n">
        <v>0</v>
      </c>
      <c r="M137" t="n">
        <v>0</v>
      </c>
      <c r="N137" t="n">
        <v>0</v>
      </c>
      <c r="O137" t="n">
        <v>0</v>
      </c>
      <c r="P137" t="n">
        <v>0</v>
      </c>
      <c r="Q137" t="n">
        <v>2</v>
      </c>
      <c r="R137" s="2" t="inlineStr">
        <is>
          <t>Björksplintborre
Revlummer</t>
        </is>
      </c>
      <c r="S137">
        <f>HYPERLINK("https://klasma.github.io/Logging_1882/artfynd/A 22787-2022 artfynd.xlsx", "A 22787-2022")</f>
        <v/>
      </c>
      <c r="T137">
        <f>HYPERLINK("https://klasma.github.io/Logging_1882/kartor/A 22787-2022 karta.png", "A 22787-2022")</f>
        <v/>
      </c>
      <c r="V137">
        <f>HYPERLINK("https://klasma.github.io/Logging_1882/klagomål/A 22787-2022 FSC-klagomål.docx", "A 22787-2022")</f>
        <v/>
      </c>
      <c r="W137">
        <f>HYPERLINK("https://klasma.github.io/Logging_1882/klagomålsmail/A 22787-2022 FSC-klagomål mail.docx", "A 22787-2022")</f>
        <v/>
      </c>
      <c r="X137">
        <f>HYPERLINK("https://klasma.github.io/Logging_1882/tillsyn/A 22787-2022 tillsynsbegäran.docx", "A 22787-2022")</f>
        <v/>
      </c>
      <c r="Y137">
        <f>HYPERLINK("https://klasma.github.io/Logging_1882/tillsynsmail/A 22787-2022 tillsynsbegäran mail.docx", "A 22787-2022")</f>
        <v/>
      </c>
    </row>
    <row r="138" ht="15" customHeight="1">
      <c r="A138" t="inlineStr">
        <is>
          <t>A 36880-2021</t>
        </is>
      </c>
      <c r="B138" s="1" t="n">
        <v>44393</v>
      </c>
      <c r="C138" s="1" t="n">
        <v>45952</v>
      </c>
      <c r="D138" t="inlineStr">
        <is>
          <t>ÖREBRO LÄN</t>
        </is>
      </c>
      <c r="E138" t="inlineStr">
        <is>
          <t>LAXÅ</t>
        </is>
      </c>
      <c r="F138" t="inlineStr">
        <is>
          <t>Sveaskog</t>
        </is>
      </c>
      <c r="G138" t="n">
        <v>3.6</v>
      </c>
      <c r="H138" t="n">
        <v>1</v>
      </c>
      <c r="I138" t="n">
        <v>1</v>
      </c>
      <c r="J138" t="n">
        <v>0</v>
      </c>
      <c r="K138" t="n">
        <v>0</v>
      </c>
      <c r="L138" t="n">
        <v>0</v>
      </c>
      <c r="M138" t="n">
        <v>0</v>
      </c>
      <c r="N138" t="n">
        <v>0</v>
      </c>
      <c r="O138" t="n">
        <v>0</v>
      </c>
      <c r="P138" t="n">
        <v>0</v>
      </c>
      <c r="Q138" t="n">
        <v>2</v>
      </c>
      <c r="R138" s="2" t="inlineStr">
        <is>
          <t>Safsa
Revlummer</t>
        </is>
      </c>
      <c r="S138">
        <f>HYPERLINK("https://klasma.github.io/Logging_1860/artfynd/A 36880-2021 artfynd.xlsx", "A 36880-2021")</f>
        <v/>
      </c>
      <c r="T138">
        <f>HYPERLINK("https://klasma.github.io/Logging_1860/kartor/A 36880-2021 karta.png", "A 36880-2021")</f>
        <v/>
      </c>
      <c r="V138">
        <f>HYPERLINK("https://klasma.github.io/Logging_1860/klagomål/A 36880-2021 FSC-klagomål.docx", "A 36880-2021")</f>
        <v/>
      </c>
      <c r="W138">
        <f>HYPERLINK("https://klasma.github.io/Logging_1860/klagomålsmail/A 36880-2021 FSC-klagomål mail.docx", "A 36880-2021")</f>
        <v/>
      </c>
      <c r="X138">
        <f>HYPERLINK("https://klasma.github.io/Logging_1860/tillsyn/A 36880-2021 tillsynsbegäran.docx", "A 36880-2021")</f>
        <v/>
      </c>
      <c r="Y138">
        <f>HYPERLINK("https://klasma.github.io/Logging_1860/tillsynsmail/A 36880-2021 tillsynsbegäran mail.docx", "A 36880-2021")</f>
        <v/>
      </c>
    </row>
    <row r="139" ht="15" customHeight="1">
      <c r="A139" t="inlineStr">
        <is>
          <t>A 54332-2021</t>
        </is>
      </c>
      <c r="B139" s="1" t="n">
        <v>44472</v>
      </c>
      <c r="C139" s="1" t="n">
        <v>45952</v>
      </c>
      <c r="D139" t="inlineStr">
        <is>
          <t>ÖREBRO LÄN</t>
        </is>
      </c>
      <c r="E139" t="inlineStr">
        <is>
          <t>LINDESBERG</t>
        </is>
      </c>
      <c r="G139" t="n">
        <v>1.4</v>
      </c>
      <c r="H139" t="n">
        <v>1</v>
      </c>
      <c r="I139" t="n">
        <v>0</v>
      </c>
      <c r="J139" t="n">
        <v>1</v>
      </c>
      <c r="K139" t="n">
        <v>0</v>
      </c>
      <c r="L139" t="n">
        <v>1</v>
      </c>
      <c r="M139" t="n">
        <v>0</v>
      </c>
      <c r="N139" t="n">
        <v>0</v>
      </c>
      <c r="O139" t="n">
        <v>2</v>
      </c>
      <c r="P139" t="n">
        <v>1</v>
      </c>
      <c r="Q139" t="n">
        <v>2</v>
      </c>
      <c r="R139" s="2" t="inlineStr">
        <is>
          <t>Asknätfjäril
Blek fingersvamp</t>
        </is>
      </c>
      <c r="S139">
        <f>HYPERLINK("https://klasma.github.io/Logging_1885/artfynd/A 54332-2021 artfynd.xlsx", "A 54332-2021")</f>
        <v/>
      </c>
      <c r="T139">
        <f>HYPERLINK("https://klasma.github.io/Logging_1885/kartor/A 54332-2021 karta.png", "A 54332-2021")</f>
        <v/>
      </c>
      <c r="V139">
        <f>HYPERLINK("https://klasma.github.io/Logging_1885/klagomål/A 54332-2021 FSC-klagomål.docx", "A 54332-2021")</f>
        <v/>
      </c>
      <c r="W139">
        <f>HYPERLINK("https://klasma.github.io/Logging_1885/klagomålsmail/A 54332-2021 FSC-klagomål mail.docx", "A 54332-2021")</f>
        <v/>
      </c>
      <c r="X139">
        <f>HYPERLINK("https://klasma.github.io/Logging_1885/tillsyn/A 54332-2021 tillsynsbegäran.docx", "A 54332-2021")</f>
        <v/>
      </c>
      <c r="Y139">
        <f>HYPERLINK("https://klasma.github.io/Logging_1885/tillsynsmail/A 54332-2021 tillsynsbegäran mail.docx", "A 54332-2021")</f>
        <v/>
      </c>
    </row>
    <row r="140" ht="15" customHeight="1">
      <c r="A140" t="inlineStr">
        <is>
          <t>A 32782-2022</t>
        </is>
      </c>
      <c r="B140" s="1" t="n">
        <v>44783</v>
      </c>
      <c r="C140" s="1" t="n">
        <v>45952</v>
      </c>
      <c r="D140" t="inlineStr">
        <is>
          <t>ÖREBRO LÄN</t>
        </is>
      </c>
      <c r="E140" t="inlineStr">
        <is>
          <t>ÖREBRO</t>
        </is>
      </c>
      <c r="G140" t="n">
        <v>2.8</v>
      </c>
      <c r="H140" t="n">
        <v>1</v>
      </c>
      <c r="I140" t="n">
        <v>0</v>
      </c>
      <c r="J140" t="n">
        <v>1</v>
      </c>
      <c r="K140" t="n">
        <v>0</v>
      </c>
      <c r="L140" t="n">
        <v>0</v>
      </c>
      <c r="M140" t="n">
        <v>0</v>
      </c>
      <c r="N140" t="n">
        <v>0</v>
      </c>
      <c r="O140" t="n">
        <v>1</v>
      </c>
      <c r="P140" t="n">
        <v>0</v>
      </c>
      <c r="Q140" t="n">
        <v>2</v>
      </c>
      <c r="R140" s="2" t="inlineStr">
        <is>
          <t>Loppstarr
Blåsippa</t>
        </is>
      </c>
      <c r="S140">
        <f>HYPERLINK("https://klasma.github.io/Logging_1880/artfynd/A 32782-2022 artfynd.xlsx", "A 32782-2022")</f>
        <v/>
      </c>
      <c r="T140">
        <f>HYPERLINK("https://klasma.github.io/Logging_1880/kartor/A 32782-2022 karta.png", "A 32782-2022")</f>
        <v/>
      </c>
      <c r="V140">
        <f>HYPERLINK("https://klasma.github.io/Logging_1880/klagomål/A 32782-2022 FSC-klagomål.docx", "A 32782-2022")</f>
        <v/>
      </c>
      <c r="W140">
        <f>HYPERLINK("https://klasma.github.io/Logging_1880/klagomålsmail/A 32782-2022 FSC-klagomål mail.docx", "A 32782-2022")</f>
        <v/>
      </c>
      <c r="X140">
        <f>HYPERLINK("https://klasma.github.io/Logging_1880/tillsyn/A 32782-2022 tillsynsbegäran.docx", "A 32782-2022")</f>
        <v/>
      </c>
      <c r="Y140">
        <f>HYPERLINK("https://klasma.github.io/Logging_1880/tillsynsmail/A 32782-2022 tillsynsbegäran mail.docx", "A 32782-2022")</f>
        <v/>
      </c>
    </row>
    <row r="141" ht="15" customHeight="1">
      <c r="A141" t="inlineStr">
        <is>
          <t>A 52264-2021</t>
        </is>
      </c>
      <c r="B141" s="1" t="n">
        <v>44463</v>
      </c>
      <c r="C141" s="1" t="n">
        <v>45952</v>
      </c>
      <c r="D141" t="inlineStr">
        <is>
          <t>ÖREBRO LÄN</t>
        </is>
      </c>
      <c r="E141" t="inlineStr">
        <is>
          <t>ASKERSUND</t>
        </is>
      </c>
      <c r="F141" t="inlineStr">
        <is>
          <t>Sveaskog</t>
        </is>
      </c>
      <c r="G141" t="n">
        <v>2.8</v>
      </c>
      <c r="H141" t="n">
        <v>1</v>
      </c>
      <c r="I141" t="n">
        <v>1</v>
      </c>
      <c r="J141" t="n">
        <v>0</v>
      </c>
      <c r="K141" t="n">
        <v>0</v>
      </c>
      <c r="L141" t="n">
        <v>0</v>
      </c>
      <c r="M141" t="n">
        <v>0</v>
      </c>
      <c r="N141" t="n">
        <v>0</v>
      </c>
      <c r="O141" t="n">
        <v>0</v>
      </c>
      <c r="P141" t="n">
        <v>0</v>
      </c>
      <c r="Q141" t="n">
        <v>2</v>
      </c>
      <c r="R141" s="2" t="inlineStr">
        <is>
          <t>Svart trolldruva
Blåsippa</t>
        </is>
      </c>
      <c r="S141">
        <f>HYPERLINK("https://klasma.github.io/Logging_1882/artfynd/A 52264-2021 artfynd.xlsx", "A 52264-2021")</f>
        <v/>
      </c>
      <c r="T141">
        <f>HYPERLINK("https://klasma.github.io/Logging_1882/kartor/A 52264-2021 karta.png", "A 52264-2021")</f>
        <v/>
      </c>
      <c r="V141">
        <f>HYPERLINK("https://klasma.github.io/Logging_1882/klagomål/A 52264-2021 FSC-klagomål.docx", "A 52264-2021")</f>
        <v/>
      </c>
      <c r="W141">
        <f>HYPERLINK("https://klasma.github.io/Logging_1882/klagomålsmail/A 52264-2021 FSC-klagomål mail.docx", "A 52264-2021")</f>
        <v/>
      </c>
      <c r="X141">
        <f>HYPERLINK("https://klasma.github.io/Logging_1882/tillsyn/A 52264-2021 tillsynsbegäran.docx", "A 52264-2021")</f>
        <v/>
      </c>
      <c r="Y141">
        <f>HYPERLINK("https://klasma.github.io/Logging_1882/tillsynsmail/A 52264-2021 tillsynsbegäran mail.docx", "A 52264-2021")</f>
        <v/>
      </c>
    </row>
    <row r="142" ht="15" customHeight="1">
      <c r="A142" t="inlineStr">
        <is>
          <t>A 52268-2021</t>
        </is>
      </c>
      <c r="B142" s="1" t="n">
        <v>44463</v>
      </c>
      <c r="C142" s="1" t="n">
        <v>45952</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52268-2021 artfynd.xlsx", "A 52268-2021")</f>
        <v/>
      </c>
      <c r="T142">
        <f>HYPERLINK("https://klasma.github.io/Logging_1882/kartor/A 52268-2021 karta.png", "A 52268-2021")</f>
        <v/>
      </c>
      <c r="V142">
        <f>HYPERLINK("https://klasma.github.io/Logging_1882/klagomål/A 52268-2021 FSC-klagomål.docx", "A 52268-2021")</f>
        <v/>
      </c>
      <c r="W142">
        <f>HYPERLINK("https://klasma.github.io/Logging_1882/klagomålsmail/A 52268-2021 FSC-klagomål mail.docx", "A 52268-2021")</f>
        <v/>
      </c>
      <c r="X142">
        <f>HYPERLINK("https://klasma.github.io/Logging_1882/tillsyn/A 52268-2021 tillsynsbegäran.docx", "A 52268-2021")</f>
        <v/>
      </c>
      <c r="Y142">
        <f>HYPERLINK("https://klasma.github.io/Logging_1882/tillsynsmail/A 52268-2021 tillsynsbegäran mail.docx", "A 52268-2021")</f>
        <v/>
      </c>
    </row>
    <row r="143" ht="15" customHeight="1">
      <c r="A143" t="inlineStr">
        <is>
          <t>A 49552-2022</t>
        </is>
      </c>
      <c r="B143" s="1" t="n">
        <v>44862.31013888889</v>
      </c>
      <c r="C143" s="1" t="n">
        <v>45952</v>
      </c>
      <c r="D143" t="inlineStr">
        <is>
          <t>ÖREBRO LÄN</t>
        </is>
      </c>
      <c r="E143" t="inlineStr">
        <is>
          <t>ÖREBRO</t>
        </is>
      </c>
      <c r="G143" t="n">
        <v>2.1</v>
      </c>
      <c r="H143" t="n">
        <v>0</v>
      </c>
      <c r="I143" t="n">
        <v>0</v>
      </c>
      <c r="J143" t="n">
        <v>1</v>
      </c>
      <c r="K143" t="n">
        <v>1</v>
      </c>
      <c r="L143" t="n">
        <v>0</v>
      </c>
      <c r="M143" t="n">
        <v>0</v>
      </c>
      <c r="N143" t="n">
        <v>0</v>
      </c>
      <c r="O143" t="n">
        <v>2</v>
      </c>
      <c r="P143" t="n">
        <v>1</v>
      </c>
      <c r="Q143" t="n">
        <v>2</v>
      </c>
      <c r="R143" s="2" t="inlineStr">
        <is>
          <t>Ulltickeporing
Ullticka</t>
        </is>
      </c>
      <c r="S143">
        <f>HYPERLINK("https://klasma.github.io/Logging_1880/artfynd/A 49552-2022 artfynd.xlsx", "A 49552-2022")</f>
        <v/>
      </c>
      <c r="T143">
        <f>HYPERLINK("https://klasma.github.io/Logging_1880/kartor/A 49552-2022 karta.png", "A 49552-2022")</f>
        <v/>
      </c>
      <c r="V143">
        <f>HYPERLINK("https://klasma.github.io/Logging_1880/klagomål/A 49552-2022 FSC-klagomål.docx", "A 49552-2022")</f>
        <v/>
      </c>
      <c r="W143">
        <f>HYPERLINK("https://klasma.github.io/Logging_1880/klagomålsmail/A 49552-2022 FSC-klagomål mail.docx", "A 49552-2022")</f>
        <v/>
      </c>
      <c r="X143">
        <f>HYPERLINK("https://klasma.github.io/Logging_1880/tillsyn/A 49552-2022 tillsynsbegäran.docx", "A 49552-2022")</f>
        <v/>
      </c>
      <c r="Y143">
        <f>HYPERLINK("https://klasma.github.io/Logging_1880/tillsynsmail/A 49552-2022 tillsynsbegäran mail.docx", "A 49552-2022")</f>
        <v/>
      </c>
    </row>
    <row r="144" ht="15" customHeight="1">
      <c r="A144" t="inlineStr">
        <is>
          <t>A 34292-2023</t>
        </is>
      </c>
      <c r="B144" s="1" t="n">
        <v>45138</v>
      </c>
      <c r="C144" s="1" t="n">
        <v>45952</v>
      </c>
      <c r="D144" t="inlineStr">
        <is>
          <t>ÖREBRO LÄN</t>
        </is>
      </c>
      <c r="E144" t="inlineStr">
        <is>
          <t>LINDESBERG</t>
        </is>
      </c>
      <c r="F144" t="inlineStr">
        <is>
          <t>Sveaskog</t>
        </is>
      </c>
      <c r="G144" t="n">
        <v>0.2</v>
      </c>
      <c r="H144" t="n">
        <v>1</v>
      </c>
      <c r="I144" t="n">
        <v>1</v>
      </c>
      <c r="J144" t="n">
        <v>0</v>
      </c>
      <c r="K144" t="n">
        <v>1</v>
      </c>
      <c r="L144" t="n">
        <v>0</v>
      </c>
      <c r="M144" t="n">
        <v>0</v>
      </c>
      <c r="N144" t="n">
        <v>0</v>
      </c>
      <c r="O144" t="n">
        <v>1</v>
      </c>
      <c r="P144" t="n">
        <v>1</v>
      </c>
      <c r="Q144" t="n">
        <v>2</v>
      </c>
      <c r="R144" s="2" t="inlineStr">
        <is>
          <t>Knärot
Sotriska</t>
        </is>
      </c>
      <c r="S144">
        <f>HYPERLINK("https://klasma.github.io/Logging_1885/artfynd/A 34292-2023 artfynd.xlsx", "A 34292-2023")</f>
        <v/>
      </c>
      <c r="T144">
        <f>HYPERLINK("https://klasma.github.io/Logging_1885/kartor/A 34292-2023 karta.png", "A 34292-2023")</f>
        <v/>
      </c>
      <c r="U144">
        <f>HYPERLINK("https://klasma.github.io/Logging_1885/knärot/A 34292-2023 karta knärot.png", "A 34292-2023")</f>
        <v/>
      </c>
      <c r="V144">
        <f>HYPERLINK("https://klasma.github.io/Logging_1885/klagomål/A 34292-2023 FSC-klagomål.docx", "A 34292-2023")</f>
        <v/>
      </c>
      <c r="W144">
        <f>HYPERLINK("https://klasma.github.io/Logging_1885/klagomålsmail/A 34292-2023 FSC-klagomål mail.docx", "A 34292-2023")</f>
        <v/>
      </c>
      <c r="X144">
        <f>HYPERLINK("https://klasma.github.io/Logging_1885/tillsyn/A 34292-2023 tillsynsbegäran.docx", "A 34292-2023")</f>
        <v/>
      </c>
      <c r="Y144">
        <f>HYPERLINK("https://klasma.github.io/Logging_1885/tillsynsmail/A 34292-2023 tillsynsbegäran mail.docx", "A 34292-2023")</f>
        <v/>
      </c>
    </row>
    <row r="145" ht="15" customHeight="1">
      <c r="A145" t="inlineStr">
        <is>
          <t>A 2586-2021</t>
        </is>
      </c>
      <c r="B145" s="1" t="n">
        <v>44214</v>
      </c>
      <c r="C145" s="1" t="n">
        <v>45952</v>
      </c>
      <c r="D145" t="inlineStr">
        <is>
          <t>ÖREBRO LÄN</t>
        </is>
      </c>
      <c r="E145" t="inlineStr">
        <is>
          <t>ÖREBRO</t>
        </is>
      </c>
      <c r="G145" t="n">
        <v>8</v>
      </c>
      <c r="H145" t="n">
        <v>1</v>
      </c>
      <c r="I145" t="n">
        <v>0</v>
      </c>
      <c r="J145" t="n">
        <v>1</v>
      </c>
      <c r="K145" t="n">
        <v>0</v>
      </c>
      <c r="L145" t="n">
        <v>0</v>
      </c>
      <c r="M145" t="n">
        <v>0</v>
      </c>
      <c r="N145" t="n">
        <v>0</v>
      </c>
      <c r="O145" t="n">
        <v>1</v>
      </c>
      <c r="P145" t="n">
        <v>0</v>
      </c>
      <c r="Q145" t="n">
        <v>2</v>
      </c>
      <c r="R145" s="2" t="inlineStr">
        <is>
          <t>Tallticka
Fläcknycklar</t>
        </is>
      </c>
      <c r="S145">
        <f>HYPERLINK("https://klasma.github.io/Logging_1880/artfynd/A 2586-2021 artfynd.xlsx", "A 2586-2021")</f>
        <v/>
      </c>
      <c r="T145">
        <f>HYPERLINK("https://klasma.github.io/Logging_1880/kartor/A 2586-2021 karta.png", "A 2586-2021")</f>
        <v/>
      </c>
      <c r="V145">
        <f>HYPERLINK("https://klasma.github.io/Logging_1880/klagomål/A 2586-2021 FSC-klagomål.docx", "A 2586-2021")</f>
        <v/>
      </c>
      <c r="W145">
        <f>HYPERLINK("https://klasma.github.io/Logging_1880/klagomålsmail/A 2586-2021 FSC-klagomål mail.docx", "A 2586-2021")</f>
        <v/>
      </c>
      <c r="X145">
        <f>HYPERLINK("https://klasma.github.io/Logging_1880/tillsyn/A 2586-2021 tillsynsbegäran.docx", "A 2586-2021")</f>
        <v/>
      </c>
      <c r="Y145">
        <f>HYPERLINK("https://klasma.github.io/Logging_1880/tillsynsmail/A 2586-2021 tillsynsbegäran mail.docx", "A 2586-2021")</f>
        <v/>
      </c>
    </row>
    <row r="146" ht="15" customHeight="1">
      <c r="A146" t="inlineStr">
        <is>
          <t>A 7608-2024</t>
        </is>
      </c>
      <c r="B146" s="1" t="n">
        <v>45348</v>
      </c>
      <c r="C146" s="1" t="n">
        <v>45952</v>
      </c>
      <c r="D146" t="inlineStr">
        <is>
          <t>ÖREBRO LÄN</t>
        </is>
      </c>
      <c r="E146" t="inlineStr">
        <is>
          <t>ÖREBRO</t>
        </is>
      </c>
      <c r="G146" t="n">
        <v>4.3</v>
      </c>
      <c r="H146" t="n">
        <v>2</v>
      </c>
      <c r="I146" t="n">
        <v>0</v>
      </c>
      <c r="J146" t="n">
        <v>1</v>
      </c>
      <c r="K146" t="n">
        <v>1</v>
      </c>
      <c r="L146" t="n">
        <v>0</v>
      </c>
      <c r="M146" t="n">
        <v>0</v>
      </c>
      <c r="N146" t="n">
        <v>0</v>
      </c>
      <c r="O146" t="n">
        <v>2</v>
      </c>
      <c r="P146" t="n">
        <v>1</v>
      </c>
      <c r="Q146" t="n">
        <v>2</v>
      </c>
      <c r="R146" s="2" t="inlineStr">
        <is>
          <t>Knärot
Spillkråka</t>
        </is>
      </c>
      <c r="S146">
        <f>HYPERLINK("https://klasma.github.io/Logging_1880/artfynd/A 7608-2024 artfynd.xlsx", "A 7608-2024")</f>
        <v/>
      </c>
      <c r="T146">
        <f>HYPERLINK("https://klasma.github.io/Logging_1880/kartor/A 7608-2024 karta.png", "A 7608-2024")</f>
        <v/>
      </c>
      <c r="U146">
        <f>HYPERLINK("https://klasma.github.io/Logging_1880/knärot/A 7608-2024 karta knärot.png", "A 7608-2024")</f>
        <v/>
      </c>
      <c r="V146">
        <f>HYPERLINK("https://klasma.github.io/Logging_1880/klagomål/A 7608-2024 FSC-klagomål.docx", "A 7608-2024")</f>
        <v/>
      </c>
      <c r="W146">
        <f>HYPERLINK("https://klasma.github.io/Logging_1880/klagomålsmail/A 7608-2024 FSC-klagomål mail.docx", "A 7608-2024")</f>
        <v/>
      </c>
      <c r="X146">
        <f>HYPERLINK("https://klasma.github.io/Logging_1880/tillsyn/A 7608-2024 tillsynsbegäran.docx", "A 7608-2024")</f>
        <v/>
      </c>
      <c r="Y146">
        <f>HYPERLINK("https://klasma.github.io/Logging_1880/tillsynsmail/A 7608-2024 tillsynsbegäran mail.docx", "A 7608-2024")</f>
        <v/>
      </c>
      <c r="Z146">
        <f>HYPERLINK("https://klasma.github.io/Logging_1880/fåglar/A 7608-2024 prioriterade fågelarter.docx", "A 7608-2024")</f>
        <v/>
      </c>
    </row>
    <row r="147" ht="15" customHeight="1">
      <c r="A147" t="inlineStr">
        <is>
          <t>A 52400-2024</t>
        </is>
      </c>
      <c r="B147" s="1" t="n">
        <v>45609.44461805555</v>
      </c>
      <c r="C147" s="1" t="n">
        <v>45952</v>
      </c>
      <c r="D147" t="inlineStr">
        <is>
          <t>ÖREBRO LÄN</t>
        </is>
      </c>
      <c r="E147" t="inlineStr">
        <is>
          <t>ÖREBRO</t>
        </is>
      </c>
      <c r="F147" t="inlineStr">
        <is>
          <t>Sveaskog</t>
        </is>
      </c>
      <c r="G147" t="n">
        <v>7</v>
      </c>
      <c r="H147" t="n">
        <v>2</v>
      </c>
      <c r="I147" t="n">
        <v>0</v>
      </c>
      <c r="J147" t="n">
        <v>0</v>
      </c>
      <c r="K147" t="n">
        <v>1</v>
      </c>
      <c r="L147" t="n">
        <v>0</v>
      </c>
      <c r="M147" t="n">
        <v>0</v>
      </c>
      <c r="N147" t="n">
        <v>0</v>
      </c>
      <c r="O147" t="n">
        <v>1</v>
      </c>
      <c r="P147" t="n">
        <v>1</v>
      </c>
      <c r="Q147" t="n">
        <v>2</v>
      </c>
      <c r="R147" s="2" t="inlineStr">
        <is>
          <t>Väddnätfjäril
Grönvit nattviol</t>
        </is>
      </c>
      <c r="S147">
        <f>HYPERLINK("https://klasma.github.io/Logging_1880/artfynd/A 52400-2024 artfynd.xlsx", "A 52400-2024")</f>
        <v/>
      </c>
      <c r="T147">
        <f>HYPERLINK("https://klasma.github.io/Logging_1880/kartor/A 52400-2024 karta.png", "A 52400-2024")</f>
        <v/>
      </c>
      <c r="V147">
        <f>HYPERLINK("https://klasma.github.io/Logging_1880/klagomål/A 52400-2024 FSC-klagomål.docx", "A 52400-2024")</f>
        <v/>
      </c>
      <c r="W147">
        <f>HYPERLINK("https://klasma.github.io/Logging_1880/klagomålsmail/A 52400-2024 FSC-klagomål mail.docx", "A 52400-2024")</f>
        <v/>
      </c>
      <c r="X147">
        <f>HYPERLINK("https://klasma.github.io/Logging_1880/tillsyn/A 52400-2024 tillsynsbegäran.docx", "A 52400-2024")</f>
        <v/>
      </c>
      <c r="Y147">
        <f>HYPERLINK("https://klasma.github.io/Logging_1880/tillsynsmail/A 52400-2024 tillsynsbegäran mail.docx", "A 52400-2024")</f>
        <v/>
      </c>
    </row>
    <row r="148" ht="15" customHeight="1">
      <c r="A148" t="inlineStr">
        <is>
          <t>A 69455-2020</t>
        </is>
      </c>
      <c r="B148" s="1" t="n">
        <v>44194</v>
      </c>
      <c r="C148" s="1" t="n">
        <v>45952</v>
      </c>
      <c r="D148" t="inlineStr">
        <is>
          <t>ÖREBRO LÄN</t>
        </is>
      </c>
      <c r="E148" t="inlineStr">
        <is>
          <t>ASKERSUND</t>
        </is>
      </c>
      <c r="G148" t="n">
        <v>4.7</v>
      </c>
      <c r="H148" t="n">
        <v>1</v>
      </c>
      <c r="I148" t="n">
        <v>0</v>
      </c>
      <c r="J148" t="n">
        <v>1</v>
      </c>
      <c r="K148" t="n">
        <v>0</v>
      </c>
      <c r="L148" t="n">
        <v>0</v>
      </c>
      <c r="M148" t="n">
        <v>0</v>
      </c>
      <c r="N148" t="n">
        <v>0</v>
      </c>
      <c r="O148" t="n">
        <v>1</v>
      </c>
      <c r="P148" t="n">
        <v>0</v>
      </c>
      <c r="Q148" t="n">
        <v>2</v>
      </c>
      <c r="R148" s="2" t="inlineStr">
        <is>
          <t>Svinrot
Fläcknycklar</t>
        </is>
      </c>
      <c r="S148">
        <f>HYPERLINK("https://klasma.github.io/Logging_1882/artfynd/A 69455-2020 artfynd.xlsx", "A 69455-2020")</f>
        <v/>
      </c>
      <c r="T148">
        <f>HYPERLINK("https://klasma.github.io/Logging_1882/kartor/A 69455-2020 karta.png", "A 69455-2020")</f>
        <v/>
      </c>
      <c r="V148">
        <f>HYPERLINK("https://klasma.github.io/Logging_1882/klagomål/A 69455-2020 FSC-klagomål.docx", "A 69455-2020")</f>
        <v/>
      </c>
      <c r="W148">
        <f>HYPERLINK("https://klasma.github.io/Logging_1882/klagomålsmail/A 69455-2020 FSC-klagomål mail.docx", "A 69455-2020")</f>
        <v/>
      </c>
      <c r="X148">
        <f>HYPERLINK("https://klasma.github.io/Logging_1882/tillsyn/A 69455-2020 tillsynsbegäran.docx", "A 69455-2020")</f>
        <v/>
      </c>
      <c r="Y148">
        <f>HYPERLINK("https://klasma.github.io/Logging_1882/tillsynsmail/A 69455-2020 tillsynsbegäran mail.docx", "A 69455-2020")</f>
        <v/>
      </c>
    </row>
    <row r="149" ht="15" customHeight="1">
      <c r="A149" t="inlineStr">
        <is>
          <t>A 29125-2023</t>
        </is>
      </c>
      <c r="B149" s="1" t="n">
        <v>45105</v>
      </c>
      <c r="C149" s="1" t="n">
        <v>45952</v>
      </c>
      <c r="D149" t="inlineStr">
        <is>
          <t>ÖREBRO LÄN</t>
        </is>
      </c>
      <c r="E149" t="inlineStr">
        <is>
          <t>HALLSBERG</t>
        </is>
      </c>
      <c r="G149" t="n">
        <v>12.1</v>
      </c>
      <c r="H149" t="n">
        <v>2</v>
      </c>
      <c r="I149" t="n">
        <v>0</v>
      </c>
      <c r="J149" t="n">
        <v>1</v>
      </c>
      <c r="K149" t="n">
        <v>0</v>
      </c>
      <c r="L149" t="n">
        <v>0</v>
      </c>
      <c r="M149" t="n">
        <v>0</v>
      </c>
      <c r="N149" t="n">
        <v>0</v>
      </c>
      <c r="O149" t="n">
        <v>1</v>
      </c>
      <c r="P149" t="n">
        <v>0</v>
      </c>
      <c r="Q149" t="n">
        <v>2</v>
      </c>
      <c r="R149" s="2" t="inlineStr">
        <is>
          <t>Gulsparv
Göktyta</t>
        </is>
      </c>
      <c r="S149">
        <f>HYPERLINK("https://klasma.github.io/Logging_1861/artfynd/A 29125-2023 artfynd.xlsx", "A 29125-2023")</f>
        <v/>
      </c>
      <c r="T149">
        <f>HYPERLINK("https://klasma.github.io/Logging_1861/kartor/A 29125-2023 karta.png", "A 29125-2023")</f>
        <v/>
      </c>
      <c r="V149">
        <f>HYPERLINK("https://klasma.github.io/Logging_1861/klagomål/A 29125-2023 FSC-klagomål.docx", "A 29125-2023")</f>
        <v/>
      </c>
      <c r="W149">
        <f>HYPERLINK("https://klasma.github.io/Logging_1861/klagomålsmail/A 29125-2023 FSC-klagomål mail.docx", "A 29125-2023")</f>
        <v/>
      </c>
      <c r="X149">
        <f>HYPERLINK("https://klasma.github.io/Logging_1861/tillsyn/A 29125-2023 tillsynsbegäran.docx", "A 29125-2023")</f>
        <v/>
      </c>
      <c r="Y149">
        <f>HYPERLINK("https://klasma.github.io/Logging_1861/tillsynsmail/A 29125-2023 tillsynsbegäran mail.docx", "A 29125-2023")</f>
        <v/>
      </c>
      <c r="Z149">
        <f>HYPERLINK("https://klasma.github.io/Logging_1861/fåglar/A 29125-2023 prioriterade fågelarter.docx", "A 29125-2023")</f>
        <v/>
      </c>
    </row>
    <row r="150" ht="15" customHeight="1">
      <c r="A150" t="inlineStr">
        <is>
          <t>A 11018-2022</t>
        </is>
      </c>
      <c r="B150" s="1" t="n">
        <v>44628</v>
      </c>
      <c r="C150" s="1" t="n">
        <v>45952</v>
      </c>
      <c r="D150" t="inlineStr">
        <is>
          <t>ÖREBRO LÄN</t>
        </is>
      </c>
      <c r="E150" t="inlineStr">
        <is>
          <t>LAXÅ</t>
        </is>
      </c>
      <c r="G150" t="n">
        <v>9.300000000000001</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HYPERLINK("https://klasma.github.io/Logging_1860/artfynd/A 11018-2022 artfynd.xlsx", "A 11018-2022")</f>
        <v/>
      </c>
      <c r="T150">
        <f>HYPERLINK("https://klasma.github.io/Logging_1860/kartor/A 11018-2022 karta.png", "A 11018-2022")</f>
        <v/>
      </c>
      <c r="V150">
        <f>HYPERLINK("https://klasma.github.io/Logging_1860/klagomål/A 11018-2022 FSC-klagomål.docx", "A 11018-2022")</f>
        <v/>
      </c>
      <c r="W150">
        <f>HYPERLINK("https://klasma.github.io/Logging_1860/klagomålsmail/A 11018-2022 FSC-klagomål mail.docx", "A 11018-2022")</f>
        <v/>
      </c>
      <c r="X150">
        <f>HYPERLINK("https://klasma.github.io/Logging_1860/tillsyn/A 11018-2022 tillsynsbegäran.docx", "A 11018-2022")</f>
        <v/>
      </c>
      <c r="Y150">
        <f>HYPERLINK("https://klasma.github.io/Logging_1860/tillsynsmail/A 11018-2022 tillsynsbegäran mail.docx", "A 11018-2022")</f>
        <v/>
      </c>
      <c r="Z150">
        <f>HYPERLINK("https://klasma.github.io/Logging_1860/fåglar/A 11018-2022 prioriterade fågelarter.docx", "A 11018-2022")</f>
        <v/>
      </c>
    </row>
    <row r="151" ht="15" customHeight="1">
      <c r="A151" t="inlineStr">
        <is>
          <t>A 11678-2024</t>
        </is>
      </c>
      <c r="B151" s="1" t="n">
        <v>45373.57708333333</v>
      </c>
      <c r="C151" s="1" t="n">
        <v>45952</v>
      </c>
      <c r="D151" t="inlineStr">
        <is>
          <t>ÖREBRO LÄN</t>
        </is>
      </c>
      <c r="E151" t="inlineStr">
        <is>
          <t>LEKEBERG</t>
        </is>
      </c>
      <c r="F151" t="inlineStr">
        <is>
          <t>Kyrkan</t>
        </is>
      </c>
      <c r="G151" t="n">
        <v>1</v>
      </c>
      <c r="H151" t="n">
        <v>1</v>
      </c>
      <c r="I151" t="n">
        <v>0</v>
      </c>
      <c r="J151" t="n">
        <v>1</v>
      </c>
      <c r="K151" t="n">
        <v>0</v>
      </c>
      <c r="L151" t="n">
        <v>1</v>
      </c>
      <c r="M151" t="n">
        <v>0</v>
      </c>
      <c r="N151" t="n">
        <v>0</v>
      </c>
      <c r="O151" t="n">
        <v>2</v>
      </c>
      <c r="P151" t="n">
        <v>1</v>
      </c>
      <c r="Q151" t="n">
        <v>2</v>
      </c>
      <c r="R151" s="2" t="inlineStr">
        <is>
          <t>Ask
Svartvit flugsnappare</t>
        </is>
      </c>
      <c r="S151">
        <f>HYPERLINK("https://klasma.github.io/Logging_1814/artfynd/A 11678-2024 artfynd.xlsx", "A 11678-2024")</f>
        <v/>
      </c>
      <c r="T151">
        <f>HYPERLINK("https://klasma.github.io/Logging_1814/kartor/A 11678-2024 karta.png", "A 11678-2024")</f>
        <v/>
      </c>
      <c r="V151">
        <f>HYPERLINK("https://klasma.github.io/Logging_1814/klagomål/A 11678-2024 FSC-klagomål.docx", "A 11678-2024")</f>
        <v/>
      </c>
      <c r="W151">
        <f>HYPERLINK("https://klasma.github.io/Logging_1814/klagomålsmail/A 11678-2024 FSC-klagomål mail.docx", "A 11678-2024")</f>
        <v/>
      </c>
      <c r="X151">
        <f>HYPERLINK("https://klasma.github.io/Logging_1814/tillsyn/A 11678-2024 tillsynsbegäran.docx", "A 11678-2024")</f>
        <v/>
      </c>
      <c r="Y151">
        <f>HYPERLINK("https://klasma.github.io/Logging_1814/tillsynsmail/A 11678-2024 tillsynsbegäran mail.docx", "A 11678-2024")</f>
        <v/>
      </c>
      <c r="Z151">
        <f>HYPERLINK("https://klasma.github.io/Logging_1814/fåglar/A 11678-2024 prioriterade fågelarter.docx", "A 11678-2024")</f>
        <v/>
      </c>
    </row>
    <row r="152" ht="15" customHeight="1">
      <c r="A152" t="inlineStr">
        <is>
          <t>A 3460-2025</t>
        </is>
      </c>
      <c r="B152" s="1" t="n">
        <v>45680</v>
      </c>
      <c r="C152" s="1" t="n">
        <v>45952</v>
      </c>
      <c r="D152" t="inlineStr">
        <is>
          <t>ÖREBRO LÄN</t>
        </is>
      </c>
      <c r="E152" t="inlineStr">
        <is>
          <t>ASKERSUND</t>
        </is>
      </c>
      <c r="F152" t="inlineStr">
        <is>
          <t>Sveaskog</t>
        </is>
      </c>
      <c r="G152" t="n">
        <v>2.5</v>
      </c>
      <c r="H152" t="n">
        <v>2</v>
      </c>
      <c r="I152" t="n">
        <v>0</v>
      </c>
      <c r="J152" t="n">
        <v>0</v>
      </c>
      <c r="K152" t="n">
        <v>0</v>
      </c>
      <c r="L152" t="n">
        <v>0</v>
      </c>
      <c r="M152" t="n">
        <v>0</v>
      </c>
      <c r="N152" t="n">
        <v>0</v>
      </c>
      <c r="O152" t="n">
        <v>0</v>
      </c>
      <c r="P152" t="n">
        <v>0</v>
      </c>
      <c r="Q152" t="n">
        <v>2</v>
      </c>
      <c r="R152" s="2" t="inlineStr">
        <is>
          <t>Fläcknycklar
Mattlummer</t>
        </is>
      </c>
      <c r="S152">
        <f>HYPERLINK("https://klasma.github.io/Logging_1882/artfynd/A 3460-2025 artfynd.xlsx", "A 3460-2025")</f>
        <v/>
      </c>
      <c r="T152">
        <f>HYPERLINK("https://klasma.github.io/Logging_1882/kartor/A 3460-2025 karta.png", "A 3460-2025")</f>
        <v/>
      </c>
      <c r="V152">
        <f>HYPERLINK("https://klasma.github.io/Logging_1882/klagomål/A 3460-2025 FSC-klagomål.docx", "A 3460-2025")</f>
        <v/>
      </c>
      <c r="W152">
        <f>HYPERLINK("https://klasma.github.io/Logging_1882/klagomålsmail/A 3460-2025 FSC-klagomål mail.docx", "A 3460-2025")</f>
        <v/>
      </c>
      <c r="X152">
        <f>HYPERLINK("https://klasma.github.io/Logging_1882/tillsyn/A 3460-2025 tillsynsbegäran.docx", "A 3460-2025")</f>
        <v/>
      </c>
      <c r="Y152">
        <f>HYPERLINK("https://klasma.github.io/Logging_1882/tillsynsmail/A 3460-2025 tillsynsbegäran mail.docx", "A 3460-2025")</f>
        <v/>
      </c>
    </row>
    <row r="153" ht="15" customHeight="1">
      <c r="A153" t="inlineStr">
        <is>
          <t>A 37012-2022</t>
        </is>
      </c>
      <c r="B153" s="1" t="n">
        <v>44806</v>
      </c>
      <c r="C153" s="1" t="n">
        <v>45952</v>
      </c>
      <c r="D153" t="inlineStr">
        <is>
          <t>ÖREBRO LÄN</t>
        </is>
      </c>
      <c r="E153" t="inlineStr">
        <is>
          <t>LEKEBERG</t>
        </is>
      </c>
      <c r="G153" t="n">
        <v>3.9</v>
      </c>
      <c r="H153" t="n">
        <v>2</v>
      </c>
      <c r="I153" t="n">
        <v>0</v>
      </c>
      <c r="J153" t="n">
        <v>1</v>
      </c>
      <c r="K153" t="n">
        <v>1</v>
      </c>
      <c r="L153" t="n">
        <v>0</v>
      </c>
      <c r="M153" t="n">
        <v>0</v>
      </c>
      <c r="N153" t="n">
        <v>0</v>
      </c>
      <c r="O153" t="n">
        <v>2</v>
      </c>
      <c r="P153" t="n">
        <v>1</v>
      </c>
      <c r="Q153" t="n">
        <v>2</v>
      </c>
      <c r="R153" s="2" t="inlineStr">
        <is>
          <t>Knärot
Spillkråka</t>
        </is>
      </c>
      <c r="S153">
        <f>HYPERLINK("https://klasma.github.io/Logging_1814/artfynd/A 37012-2022 artfynd.xlsx", "A 37012-2022")</f>
        <v/>
      </c>
      <c r="T153">
        <f>HYPERLINK("https://klasma.github.io/Logging_1814/kartor/A 37012-2022 karta.png", "A 37012-2022")</f>
        <v/>
      </c>
      <c r="U153">
        <f>HYPERLINK("https://klasma.github.io/Logging_1814/knärot/A 37012-2022 karta knärot.png", "A 37012-2022")</f>
        <v/>
      </c>
      <c r="V153">
        <f>HYPERLINK("https://klasma.github.io/Logging_1814/klagomål/A 37012-2022 FSC-klagomål.docx", "A 37012-2022")</f>
        <v/>
      </c>
      <c r="W153">
        <f>HYPERLINK("https://klasma.github.io/Logging_1814/klagomålsmail/A 37012-2022 FSC-klagomål mail.docx", "A 37012-2022")</f>
        <v/>
      </c>
      <c r="X153">
        <f>HYPERLINK("https://klasma.github.io/Logging_1814/tillsyn/A 37012-2022 tillsynsbegäran.docx", "A 37012-2022")</f>
        <v/>
      </c>
      <c r="Y153">
        <f>HYPERLINK("https://klasma.github.io/Logging_1814/tillsynsmail/A 37012-2022 tillsynsbegäran mail.docx", "A 37012-2022")</f>
        <v/>
      </c>
      <c r="Z153">
        <f>HYPERLINK("https://klasma.github.io/Logging_1814/fåglar/A 37012-2022 prioriterade fågelarter.docx", "A 37012-2022")</f>
        <v/>
      </c>
    </row>
    <row r="154" ht="15" customHeight="1">
      <c r="A154" t="inlineStr">
        <is>
          <t>A 65156-2020</t>
        </is>
      </c>
      <c r="B154" s="1" t="n">
        <v>44172</v>
      </c>
      <c r="C154" s="1" t="n">
        <v>45952</v>
      </c>
      <c r="D154" t="inlineStr">
        <is>
          <t>ÖREBRO LÄN</t>
        </is>
      </c>
      <c r="E154" t="inlineStr">
        <is>
          <t>NORA</t>
        </is>
      </c>
      <c r="G154" t="n">
        <v>7.2</v>
      </c>
      <c r="H154" t="n">
        <v>0</v>
      </c>
      <c r="I154" t="n">
        <v>0</v>
      </c>
      <c r="J154" t="n">
        <v>0</v>
      </c>
      <c r="K154" t="n">
        <v>0</v>
      </c>
      <c r="L154" t="n">
        <v>1</v>
      </c>
      <c r="M154" t="n">
        <v>1</v>
      </c>
      <c r="N154" t="n">
        <v>0</v>
      </c>
      <c r="O154" t="n">
        <v>2</v>
      </c>
      <c r="P154" t="n">
        <v>2</v>
      </c>
      <c r="Q154" t="n">
        <v>2</v>
      </c>
      <c r="R154" s="2" t="inlineStr">
        <is>
          <t>Skogsalm
Ask</t>
        </is>
      </c>
      <c r="S154">
        <f>HYPERLINK("https://klasma.github.io/Logging_1884/artfynd/A 65156-2020 artfynd.xlsx", "A 65156-2020")</f>
        <v/>
      </c>
      <c r="T154">
        <f>HYPERLINK("https://klasma.github.io/Logging_1884/kartor/A 65156-2020 karta.png", "A 65156-2020")</f>
        <v/>
      </c>
      <c r="V154">
        <f>HYPERLINK("https://klasma.github.io/Logging_1884/klagomål/A 65156-2020 FSC-klagomål.docx", "A 65156-2020")</f>
        <v/>
      </c>
      <c r="W154">
        <f>HYPERLINK("https://klasma.github.io/Logging_1884/klagomålsmail/A 65156-2020 FSC-klagomål mail.docx", "A 65156-2020")</f>
        <v/>
      </c>
      <c r="X154">
        <f>HYPERLINK("https://klasma.github.io/Logging_1884/tillsyn/A 65156-2020 tillsynsbegäran.docx", "A 65156-2020")</f>
        <v/>
      </c>
      <c r="Y154">
        <f>HYPERLINK("https://klasma.github.io/Logging_1884/tillsynsmail/A 65156-2020 tillsynsbegäran mail.docx", "A 65156-2020")</f>
        <v/>
      </c>
    </row>
    <row r="155" ht="15" customHeight="1">
      <c r="A155" t="inlineStr">
        <is>
          <t>A 15371-2025</t>
        </is>
      </c>
      <c r="B155" s="1" t="n">
        <v>45747.40402777777</v>
      </c>
      <c r="C155" s="1" t="n">
        <v>45952</v>
      </c>
      <c r="D155" t="inlineStr">
        <is>
          <t>ÖREBRO LÄN</t>
        </is>
      </c>
      <c r="E155" t="inlineStr">
        <is>
          <t>LAXÅ</t>
        </is>
      </c>
      <c r="G155" t="n">
        <v>6.1</v>
      </c>
      <c r="H155" t="n">
        <v>2</v>
      </c>
      <c r="I155" t="n">
        <v>0</v>
      </c>
      <c r="J155" t="n">
        <v>0</v>
      </c>
      <c r="K155" t="n">
        <v>0</v>
      </c>
      <c r="L155" t="n">
        <v>0</v>
      </c>
      <c r="M155" t="n">
        <v>0</v>
      </c>
      <c r="N155" t="n">
        <v>0</v>
      </c>
      <c r="O155" t="n">
        <v>0</v>
      </c>
      <c r="P155" t="n">
        <v>0</v>
      </c>
      <c r="Q155" t="n">
        <v>2</v>
      </c>
      <c r="R155" s="2" t="inlineStr">
        <is>
          <t>Fläcknycklar
Nattviol</t>
        </is>
      </c>
      <c r="S155">
        <f>HYPERLINK("https://klasma.github.io/Logging_1860/artfynd/A 15371-2025 artfynd.xlsx", "A 15371-2025")</f>
        <v/>
      </c>
      <c r="T155">
        <f>HYPERLINK("https://klasma.github.io/Logging_1860/kartor/A 15371-2025 karta.png", "A 15371-2025")</f>
        <v/>
      </c>
      <c r="V155">
        <f>HYPERLINK("https://klasma.github.io/Logging_1860/klagomål/A 15371-2025 FSC-klagomål.docx", "A 15371-2025")</f>
        <v/>
      </c>
      <c r="W155">
        <f>HYPERLINK("https://klasma.github.io/Logging_1860/klagomålsmail/A 15371-2025 FSC-klagomål mail.docx", "A 15371-2025")</f>
        <v/>
      </c>
      <c r="X155">
        <f>HYPERLINK("https://klasma.github.io/Logging_1860/tillsyn/A 15371-2025 tillsynsbegäran.docx", "A 15371-2025")</f>
        <v/>
      </c>
      <c r="Y155">
        <f>HYPERLINK("https://klasma.github.io/Logging_1860/tillsynsmail/A 15371-2025 tillsynsbegäran mail.docx", "A 15371-2025")</f>
        <v/>
      </c>
    </row>
    <row r="156" ht="15" customHeight="1">
      <c r="A156" t="inlineStr">
        <is>
          <t>A 22577-2024</t>
        </is>
      </c>
      <c r="B156" s="1" t="n">
        <v>45447</v>
      </c>
      <c r="C156" s="1" t="n">
        <v>45952</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37019-2024</t>
        </is>
      </c>
      <c r="B157" s="1" t="n">
        <v>45539.37905092593</v>
      </c>
      <c r="C157" s="1" t="n">
        <v>45952</v>
      </c>
      <c r="D157" t="inlineStr">
        <is>
          <t>ÖREBRO LÄN</t>
        </is>
      </c>
      <c r="E157" t="inlineStr">
        <is>
          <t>ÖREBRO</t>
        </is>
      </c>
      <c r="F157" t="inlineStr">
        <is>
          <t>Sveaskog</t>
        </is>
      </c>
      <c r="G157" t="n">
        <v>1.9</v>
      </c>
      <c r="H157" t="n">
        <v>1</v>
      </c>
      <c r="I157" t="n">
        <v>1</v>
      </c>
      <c r="J157" t="n">
        <v>0</v>
      </c>
      <c r="K157" t="n">
        <v>0</v>
      </c>
      <c r="L157" t="n">
        <v>0</v>
      </c>
      <c r="M157" t="n">
        <v>0</v>
      </c>
      <c r="N157" t="n">
        <v>0</v>
      </c>
      <c r="O157" t="n">
        <v>0</v>
      </c>
      <c r="P157" t="n">
        <v>0</v>
      </c>
      <c r="Q157" t="n">
        <v>2</v>
      </c>
      <c r="R157" s="2" t="inlineStr">
        <is>
          <t>Tibast
Huggorm</t>
        </is>
      </c>
      <c r="S157">
        <f>HYPERLINK("https://klasma.github.io/Logging_1880/artfynd/A 37019-2024 artfynd.xlsx", "A 37019-2024")</f>
        <v/>
      </c>
      <c r="T157">
        <f>HYPERLINK("https://klasma.github.io/Logging_1880/kartor/A 37019-2024 karta.png", "A 37019-2024")</f>
        <v/>
      </c>
      <c r="V157">
        <f>HYPERLINK("https://klasma.github.io/Logging_1880/klagomål/A 37019-2024 FSC-klagomål.docx", "A 37019-2024")</f>
        <v/>
      </c>
      <c r="W157">
        <f>HYPERLINK("https://klasma.github.io/Logging_1880/klagomålsmail/A 37019-2024 FSC-klagomål mail.docx", "A 37019-2024")</f>
        <v/>
      </c>
      <c r="X157">
        <f>HYPERLINK("https://klasma.github.io/Logging_1880/tillsyn/A 37019-2024 tillsynsbegäran.docx", "A 37019-2024")</f>
        <v/>
      </c>
      <c r="Y157">
        <f>HYPERLINK("https://klasma.github.io/Logging_1880/tillsynsmail/A 37019-2024 tillsynsbegäran mail.docx", "A 37019-2024")</f>
        <v/>
      </c>
    </row>
    <row r="158" ht="15" customHeight="1">
      <c r="A158" t="inlineStr">
        <is>
          <t>A 57386-2020</t>
        </is>
      </c>
      <c r="B158" s="1" t="n">
        <v>44140</v>
      </c>
      <c r="C158" s="1" t="n">
        <v>45952</v>
      </c>
      <c r="D158" t="inlineStr">
        <is>
          <t>ÖREBRO LÄN</t>
        </is>
      </c>
      <c r="E158" t="inlineStr">
        <is>
          <t>KARLSKOGA</t>
        </is>
      </c>
      <c r="F158" t="inlineStr">
        <is>
          <t>Sveaskog</t>
        </is>
      </c>
      <c r="G158" t="n">
        <v>11.6</v>
      </c>
      <c r="H158" t="n">
        <v>1</v>
      </c>
      <c r="I158" t="n">
        <v>0</v>
      </c>
      <c r="J158" t="n">
        <v>1</v>
      </c>
      <c r="K158" t="n">
        <v>0</v>
      </c>
      <c r="L158" t="n">
        <v>0</v>
      </c>
      <c r="M158" t="n">
        <v>0</v>
      </c>
      <c r="N158" t="n">
        <v>0</v>
      </c>
      <c r="O158" t="n">
        <v>1</v>
      </c>
      <c r="P158" t="n">
        <v>0</v>
      </c>
      <c r="Q158" t="n">
        <v>2</v>
      </c>
      <c r="R158" s="2" t="inlineStr">
        <is>
          <t>Garnlav
Bivråk</t>
        </is>
      </c>
      <c r="S158">
        <f>HYPERLINK("https://klasma.github.io/Logging_1883/artfynd/A 57386-2020 artfynd.xlsx", "A 57386-2020")</f>
        <v/>
      </c>
      <c r="T158">
        <f>HYPERLINK("https://klasma.github.io/Logging_1883/kartor/A 57386-2020 karta.png", "A 57386-2020")</f>
        <v/>
      </c>
      <c r="V158">
        <f>HYPERLINK("https://klasma.github.io/Logging_1883/klagomål/A 57386-2020 FSC-klagomål.docx", "A 57386-2020")</f>
        <v/>
      </c>
      <c r="W158">
        <f>HYPERLINK("https://klasma.github.io/Logging_1883/klagomålsmail/A 57386-2020 FSC-klagomål mail.docx", "A 57386-2020")</f>
        <v/>
      </c>
      <c r="X158">
        <f>HYPERLINK("https://klasma.github.io/Logging_1883/tillsyn/A 57386-2020 tillsynsbegäran.docx", "A 57386-2020")</f>
        <v/>
      </c>
      <c r="Y158">
        <f>HYPERLINK("https://klasma.github.io/Logging_1883/tillsynsmail/A 57386-2020 tillsynsbegäran mail.docx", "A 57386-2020")</f>
        <v/>
      </c>
      <c r="Z158">
        <f>HYPERLINK("https://klasma.github.io/Logging_1883/fåglar/A 57386-2020 prioriterade fågelarter.docx", "A 57386-2020")</f>
        <v/>
      </c>
    </row>
    <row r="159" ht="15" customHeight="1">
      <c r="A159" t="inlineStr">
        <is>
          <t>A 37259-2024</t>
        </is>
      </c>
      <c r="B159" s="1" t="n">
        <v>45540.37113425926</v>
      </c>
      <c r="C159" s="1" t="n">
        <v>45952</v>
      </c>
      <c r="D159" t="inlineStr">
        <is>
          <t>ÖREBRO LÄN</t>
        </is>
      </c>
      <c r="E159" t="inlineStr">
        <is>
          <t>HÄLLEFORS</t>
        </is>
      </c>
      <c r="F159" t="inlineStr">
        <is>
          <t>Bergvik skog väst AB</t>
        </is>
      </c>
      <c r="G159" t="n">
        <v>4.5</v>
      </c>
      <c r="H159" t="n">
        <v>2</v>
      </c>
      <c r="I159" t="n">
        <v>0</v>
      </c>
      <c r="J159" t="n">
        <v>1</v>
      </c>
      <c r="K159" t="n">
        <v>0</v>
      </c>
      <c r="L159" t="n">
        <v>0</v>
      </c>
      <c r="M159" t="n">
        <v>0</v>
      </c>
      <c r="N159" t="n">
        <v>0</v>
      </c>
      <c r="O159" t="n">
        <v>1</v>
      </c>
      <c r="P159" t="n">
        <v>0</v>
      </c>
      <c r="Q159" t="n">
        <v>2</v>
      </c>
      <c r="R159" s="2" t="inlineStr">
        <is>
          <t>Järpe
Tjäder</t>
        </is>
      </c>
      <c r="S159">
        <f>HYPERLINK("https://klasma.github.io/Logging_1863/artfynd/A 37259-2024 artfynd.xlsx", "A 37259-2024")</f>
        <v/>
      </c>
      <c r="T159">
        <f>HYPERLINK("https://klasma.github.io/Logging_1863/kartor/A 37259-2024 karta.png", "A 37259-2024")</f>
        <v/>
      </c>
      <c r="V159">
        <f>HYPERLINK("https://klasma.github.io/Logging_1863/klagomål/A 37259-2024 FSC-klagomål.docx", "A 37259-2024")</f>
        <v/>
      </c>
      <c r="W159">
        <f>HYPERLINK("https://klasma.github.io/Logging_1863/klagomålsmail/A 37259-2024 FSC-klagomål mail.docx", "A 37259-2024")</f>
        <v/>
      </c>
      <c r="X159">
        <f>HYPERLINK("https://klasma.github.io/Logging_1863/tillsyn/A 37259-2024 tillsynsbegäran.docx", "A 37259-2024")</f>
        <v/>
      </c>
      <c r="Y159">
        <f>HYPERLINK("https://klasma.github.io/Logging_1863/tillsynsmail/A 37259-2024 tillsynsbegäran mail.docx", "A 37259-2024")</f>
        <v/>
      </c>
      <c r="Z159">
        <f>HYPERLINK("https://klasma.github.io/Logging_1863/fåglar/A 37259-2024 prioriterade fågelarter.docx", "A 37259-2024")</f>
        <v/>
      </c>
    </row>
    <row r="160" ht="15" customHeight="1">
      <c r="A160" t="inlineStr">
        <is>
          <t>A 53686-2024</t>
        </is>
      </c>
      <c r="B160" s="1" t="n">
        <v>45615</v>
      </c>
      <c r="C160" s="1" t="n">
        <v>45952</v>
      </c>
      <c r="D160" t="inlineStr">
        <is>
          <t>ÖREBRO LÄN</t>
        </is>
      </c>
      <c r="E160" t="inlineStr">
        <is>
          <t>LINDESBERG</t>
        </is>
      </c>
      <c r="G160" t="n">
        <v>9.1</v>
      </c>
      <c r="H160" t="n">
        <v>0</v>
      </c>
      <c r="I160" t="n">
        <v>1</v>
      </c>
      <c r="J160" t="n">
        <v>1</v>
      </c>
      <c r="K160" t="n">
        <v>0</v>
      </c>
      <c r="L160" t="n">
        <v>0</v>
      </c>
      <c r="M160" t="n">
        <v>0</v>
      </c>
      <c r="N160" t="n">
        <v>0</v>
      </c>
      <c r="O160" t="n">
        <v>1</v>
      </c>
      <c r="P160" t="n">
        <v>0</v>
      </c>
      <c r="Q160" t="n">
        <v>2</v>
      </c>
      <c r="R160" s="2" t="inlineStr">
        <is>
          <t>Dofttaggsvamp
Vedticka</t>
        </is>
      </c>
      <c r="S160">
        <f>HYPERLINK("https://klasma.github.io/Logging_1885/artfynd/A 53686-2024 artfynd.xlsx", "A 53686-2024")</f>
        <v/>
      </c>
      <c r="T160">
        <f>HYPERLINK("https://klasma.github.io/Logging_1885/kartor/A 53686-2024 karta.png", "A 53686-2024")</f>
        <v/>
      </c>
      <c r="V160">
        <f>HYPERLINK("https://klasma.github.io/Logging_1885/klagomål/A 53686-2024 FSC-klagomål.docx", "A 53686-2024")</f>
        <v/>
      </c>
      <c r="W160">
        <f>HYPERLINK("https://klasma.github.io/Logging_1885/klagomålsmail/A 53686-2024 FSC-klagomål mail.docx", "A 53686-2024")</f>
        <v/>
      </c>
      <c r="X160">
        <f>HYPERLINK("https://klasma.github.io/Logging_1885/tillsyn/A 53686-2024 tillsynsbegäran.docx", "A 53686-2024")</f>
        <v/>
      </c>
      <c r="Y160">
        <f>HYPERLINK("https://klasma.github.io/Logging_1885/tillsynsmail/A 53686-2024 tillsynsbegäran mail.docx", "A 53686-2024")</f>
        <v/>
      </c>
    </row>
    <row r="161" ht="15" customHeight="1">
      <c r="A161" t="inlineStr">
        <is>
          <t>A 5360-2022</t>
        </is>
      </c>
      <c r="B161" s="1" t="n">
        <v>44594</v>
      </c>
      <c r="C161" s="1" t="n">
        <v>45952</v>
      </c>
      <c r="D161" t="inlineStr">
        <is>
          <t>ÖREBRO LÄN</t>
        </is>
      </c>
      <c r="E161" t="inlineStr">
        <is>
          <t>HÄLLEFORS</t>
        </is>
      </c>
      <c r="G161" t="n">
        <v>3.7</v>
      </c>
      <c r="H161" t="n">
        <v>0</v>
      </c>
      <c r="I161" t="n">
        <v>2</v>
      </c>
      <c r="J161" t="n">
        <v>0</v>
      </c>
      <c r="K161" t="n">
        <v>0</v>
      </c>
      <c r="L161" t="n">
        <v>0</v>
      </c>
      <c r="M161" t="n">
        <v>0</v>
      </c>
      <c r="N161" t="n">
        <v>0</v>
      </c>
      <c r="O161" t="n">
        <v>0</v>
      </c>
      <c r="P161" t="n">
        <v>0</v>
      </c>
      <c r="Q161" t="n">
        <v>2</v>
      </c>
      <c r="R161" s="2" t="inlineStr">
        <is>
          <t>Mörk husmossa
Smal svampklubba</t>
        </is>
      </c>
      <c r="S161">
        <f>HYPERLINK("https://klasma.github.io/Logging_1863/artfynd/A 5360-2022 artfynd.xlsx", "A 5360-2022")</f>
        <v/>
      </c>
      <c r="T161">
        <f>HYPERLINK("https://klasma.github.io/Logging_1863/kartor/A 5360-2022 karta.png", "A 5360-2022")</f>
        <v/>
      </c>
      <c r="V161">
        <f>HYPERLINK("https://klasma.github.io/Logging_1863/klagomål/A 5360-2022 FSC-klagomål.docx", "A 5360-2022")</f>
        <v/>
      </c>
      <c r="W161">
        <f>HYPERLINK("https://klasma.github.io/Logging_1863/klagomålsmail/A 5360-2022 FSC-klagomål mail.docx", "A 5360-2022")</f>
        <v/>
      </c>
      <c r="X161">
        <f>HYPERLINK("https://klasma.github.io/Logging_1863/tillsyn/A 5360-2022 tillsynsbegäran.docx", "A 5360-2022")</f>
        <v/>
      </c>
      <c r="Y161">
        <f>HYPERLINK("https://klasma.github.io/Logging_1863/tillsynsmail/A 5360-2022 tillsynsbegäran mail.docx", "A 5360-2022")</f>
        <v/>
      </c>
    </row>
    <row r="162" ht="15" customHeight="1">
      <c r="A162" t="inlineStr">
        <is>
          <t>A 49157-2023</t>
        </is>
      </c>
      <c r="B162" s="1" t="n">
        <v>45210</v>
      </c>
      <c r="C162" s="1" t="n">
        <v>45952</v>
      </c>
      <c r="D162" t="inlineStr">
        <is>
          <t>ÖREBRO LÄN</t>
        </is>
      </c>
      <c r="E162" t="inlineStr">
        <is>
          <t>LJUSNARSBERG</t>
        </is>
      </c>
      <c r="G162" t="n">
        <v>3</v>
      </c>
      <c r="H162" t="n">
        <v>0</v>
      </c>
      <c r="I162" t="n">
        <v>2</v>
      </c>
      <c r="J162" t="n">
        <v>0</v>
      </c>
      <c r="K162" t="n">
        <v>0</v>
      </c>
      <c r="L162" t="n">
        <v>0</v>
      </c>
      <c r="M162" t="n">
        <v>0</v>
      </c>
      <c r="N162" t="n">
        <v>0</v>
      </c>
      <c r="O162" t="n">
        <v>0</v>
      </c>
      <c r="P162" t="n">
        <v>0</v>
      </c>
      <c r="Q162" t="n">
        <v>2</v>
      </c>
      <c r="R162" s="2" t="inlineStr">
        <is>
          <t>Rödgul trumpetsvamp
Skogshakmossa</t>
        </is>
      </c>
      <c r="S162">
        <f>HYPERLINK("https://klasma.github.io/Logging_1864/artfynd/A 49157-2023 artfynd.xlsx", "A 49157-2023")</f>
        <v/>
      </c>
      <c r="T162">
        <f>HYPERLINK("https://klasma.github.io/Logging_1864/kartor/A 49157-2023 karta.png", "A 49157-2023")</f>
        <v/>
      </c>
      <c r="V162">
        <f>HYPERLINK("https://klasma.github.io/Logging_1864/klagomål/A 49157-2023 FSC-klagomål.docx", "A 49157-2023")</f>
        <v/>
      </c>
      <c r="W162">
        <f>HYPERLINK("https://klasma.github.io/Logging_1864/klagomålsmail/A 49157-2023 FSC-klagomål mail.docx", "A 49157-2023")</f>
        <v/>
      </c>
      <c r="X162">
        <f>HYPERLINK("https://klasma.github.io/Logging_1864/tillsyn/A 49157-2023 tillsynsbegäran.docx", "A 49157-2023")</f>
        <v/>
      </c>
      <c r="Y162">
        <f>HYPERLINK("https://klasma.github.io/Logging_1864/tillsynsmail/A 49157-2023 tillsynsbegäran mail.docx", "A 49157-2023")</f>
        <v/>
      </c>
    </row>
    <row r="163" ht="15" customHeight="1">
      <c r="A163" t="inlineStr">
        <is>
          <t>A 8267-2021</t>
        </is>
      </c>
      <c r="B163" s="1" t="n">
        <v>44244</v>
      </c>
      <c r="C163" s="1" t="n">
        <v>45952</v>
      </c>
      <c r="D163" t="inlineStr">
        <is>
          <t>ÖREBRO LÄN</t>
        </is>
      </c>
      <c r="E163" t="inlineStr">
        <is>
          <t>ÖREBRO</t>
        </is>
      </c>
      <c r="G163" t="n">
        <v>2.5</v>
      </c>
      <c r="H163" t="n">
        <v>1</v>
      </c>
      <c r="I163" t="n">
        <v>1</v>
      </c>
      <c r="J163" t="n">
        <v>0</v>
      </c>
      <c r="K163" t="n">
        <v>0</v>
      </c>
      <c r="L163" t="n">
        <v>0</v>
      </c>
      <c r="M163" t="n">
        <v>0</v>
      </c>
      <c r="N163" t="n">
        <v>0</v>
      </c>
      <c r="O163" t="n">
        <v>0</v>
      </c>
      <c r="P163" t="n">
        <v>0</v>
      </c>
      <c r="Q163" t="n">
        <v>2</v>
      </c>
      <c r="R163" s="2" t="inlineStr">
        <is>
          <t>Svart trolldruva
Blåsippa</t>
        </is>
      </c>
      <c r="S163">
        <f>HYPERLINK("https://klasma.github.io/Logging_1880/artfynd/A 8267-2021 artfynd.xlsx", "A 8267-2021")</f>
        <v/>
      </c>
      <c r="T163">
        <f>HYPERLINK("https://klasma.github.io/Logging_1880/kartor/A 8267-2021 karta.png", "A 8267-2021")</f>
        <v/>
      </c>
      <c r="V163">
        <f>HYPERLINK("https://klasma.github.io/Logging_1880/klagomål/A 8267-2021 FSC-klagomål.docx", "A 8267-2021")</f>
        <v/>
      </c>
      <c r="W163">
        <f>HYPERLINK("https://klasma.github.io/Logging_1880/klagomålsmail/A 8267-2021 FSC-klagomål mail.docx", "A 8267-2021")</f>
        <v/>
      </c>
      <c r="X163">
        <f>HYPERLINK("https://klasma.github.io/Logging_1880/tillsyn/A 8267-2021 tillsynsbegäran.docx", "A 8267-2021")</f>
        <v/>
      </c>
      <c r="Y163">
        <f>HYPERLINK("https://klasma.github.io/Logging_1880/tillsynsmail/A 8267-2021 tillsynsbegäran mail.docx", "A 8267-2021")</f>
        <v/>
      </c>
    </row>
    <row r="164" ht="15" customHeight="1">
      <c r="A164" t="inlineStr">
        <is>
          <t>A 47280-2024</t>
        </is>
      </c>
      <c r="B164" s="1" t="n">
        <v>45586.93074074074</v>
      </c>
      <c r="C164" s="1" t="n">
        <v>45952</v>
      </c>
      <c r="D164" t="inlineStr">
        <is>
          <t>ÖREBRO LÄN</t>
        </is>
      </c>
      <c r="E164" t="inlineStr">
        <is>
          <t>HALLSBERG</t>
        </is>
      </c>
      <c r="G164" t="n">
        <v>3.9</v>
      </c>
      <c r="H164" t="n">
        <v>0</v>
      </c>
      <c r="I164" t="n">
        <v>1</v>
      </c>
      <c r="J164" t="n">
        <v>1</v>
      </c>
      <c r="K164" t="n">
        <v>0</v>
      </c>
      <c r="L164" t="n">
        <v>0</v>
      </c>
      <c r="M164" t="n">
        <v>0</v>
      </c>
      <c r="N164" t="n">
        <v>0</v>
      </c>
      <c r="O164" t="n">
        <v>1</v>
      </c>
      <c r="P164" t="n">
        <v>0</v>
      </c>
      <c r="Q164" t="n">
        <v>2</v>
      </c>
      <c r="R164" s="2" t="inlineStr">
        <is>
          <t>Svartvit taggsvamp
Dropptaggsvamp</t>
        </is>
      </c>
      <c r="S164">
        <f>HYPERLINK("https://klasma.github.io/Logging_1861/artfynd/A 47280-2024 artfynd.xlsx", "A 47280-2024")</f>
        <v/>
      </c>
      <c r="T164">
        <f>HYPERLINK("https://klasma.github.io/Logging_1861/kartor/A 47280-2024 karta.png", "A 47280-2024")</f>
        <v/>
      </c>
      <c r="V164">
        <f>HYPERLINK("https://klasma.github.io/Logging_1861/klagomål/A 47280-2024 FSC-klagomål.docx", "A 47280-2024")</f>
        <v/>
      </c>
      <c r="W164">
        <f>HYPERLINK("https://klasma.github.io/Logging_1861/klagomålsmail/A 47280-2024 FSC-klagomål mail.docx", "A 47280-2024")</f>
        <v/>
      </c>
      <c r="X164">
        <f>HYPERLINK("https://klasma.github.io/Logging_1861/tillsyn/A 47280-2024 tillsynsbegäran.docx", "A 47280-2024")</f>
        <v/>
      </c>
      <c r="Y164">
        <f>HYPERLINK("https://klasma.github.io/Logging_1861/tillsynsmail/A 47280-2024 tillsynsbegäran mail.docx", "A 47280-2024")</f>
        <v/>
      </c>
    </row>
    <row r="165" ht="15" customHeight="1">
      <c r="A165" t="inlineStr">
        <is>
          <t>A 14807-2021</t>
        </is>
      </c>
      <c r="B165" s="1" t="n">
        <v>44280</v>
      </c>
      <c r="C165" s="1" t="n">
        <v>45952</v>
      </c>
      <c r="D165" t="inlineStr">
        <is>
          <t>ÖREBRO LÄN</t>
        </is>
      </c>
      <c r="E165" t="inlineStr">
        <is>
          <t>LINDESBERG</t>
        </is>
      </c>
      <c r="G165" t="n">
        <v>2</v>
      </c>
      <c r="H165" t="n">
        <v>1</v>
      </c>
      <c r="I165" t="n">
        <v>0</v>
      </c>
      <c r="J165" t="n">
        <v>0</v>
      </c>
      <c r="K165" t="n">
        <v>0</v>
      </c>
      <c r="L165" t="n">
        <v>2</v>
      </c>
      <c r="M165" t="n">
        <v>0</v>
      </c>
      <c r="N165" t="n">
        <v>0</v>
      </c>
      <c r="O165" t="n">
        <v>2</v>
      </c>
      <c r="P165" t="n">
        <v>2</v>
      </c>
      <c r="Q165" t="n">
        <v>2</v>
      </c>
      <c r="R165" s="2" t="inlineStr">
        <is>
          <t>Ask
Asknätfjäril</t>
        </is>
      </c>
      <c r="S165">
        <f>HYPERLINK("https://klasma.github.io/Logging_1885/artfynd/A 14807-2021 artfynd.xlsx", "A 14807-2021")</f>
        <v/>
      </c>
      <c r="T165">
        <f>HYPERLINK("https://klasma.github.io/Logging_1885/kartor/A 14807-2021 karta.png", "A 14807-2021")</f>
        <v/>
      </c>
      <c r="V165">
        <f>HYPERLINK("https://klasma.github.io/Logging_1885/klagomål/A 14807-2021 FSC-klagomål.docx", "A 14807-2021")</f>
        <v/>
      </c>
      <c r="W165">
        <f>HYPERLINK("https://klasma.github.io/Logging_1885/klagomålsmail/A 14807-2021 FSC-klagomål mail.docx", "A 14807-2021")</f>
        <v/>
      </c>
      <c r="X165">
        <f>HYPERLINK("https://klasma.github.io/Logging_1885/tillsyn/A 14807-2021 tillsynsbegäran.docx", "A 14807-2021")</f>
        <v/>
      </c>
      <c r="Y165">
        <f>HYPERLINK("https://klasma.github.io/Logging_1885/tillsynsmail/A 14807-2021 tillsynsbegäran mail.docx", "A 14807-2021")</f>
        <v/>
      </c>
    </row>
    <row r="166" ht="15" customHeight="1">
      <c r="A166" t="inlineStr">
        <is>
          <t>A 1475-2025</t>
        </is>
      </c>
      <c r="B166" s="1" t="n">
        <v>45670</v>
      </c>
      <c r="C166" s="1" t="n">
        <v>45952</v>
      </c>
      <c r="D166" t="inlineStr">
        <is>
          <t>ÖREBRO LÄN</t>
        </is>
      </c>
      <c r="E166" t="inlineStr">
        <is>
          <t>LINDESBERG</t>
        </is>
      </c>
      <c r="F166" t="inlineStr">
        <is>
          <t>Sveaskog</t>
        </is>
      </c>
      <c r="G166" t="n">
        <v>0.7</v>
      </c>
      <c r="H166" t="n">
        <v>0</v>
      </c>
      <c r="I166" t="n">
        <v>0</v>
      </c>
      <c r="J166" t="n">
        <v>2</v>
      </c>
      <c r="K166" t="n">
        <v>0</v>
      </c>
      <c r="L166" t="n">
        <v>0</v>
      </c>
      <c r="M166" t="n">
        <v>0</v>
      </c>
      <c r="N166" t="n">
        <v>0</v>
      </c>
      <c r="O166" t="n">
        <v>2</v>
      </c>
      <c r="P166" t="n">
        <v>0</v>
      </c>
      <c r="Q166" t="n">
        <v>2</v>
      </c>
      <c r="R166" s="2" t="inlineStr">
        <is>
          <t>Motaggsvamp
Svartvit taggsvamp</t>
        </is>
      </c>
      <c r="S166">
        <f>HYPERLINK("https://klasma.github.io/Logging_1885/artfynd/A 1475-2025 artfynd.xlsx", "A 1475-2025")</f>
        <v/>
      </c>
      <c r="T166">
        <f>HYPERLINK("https://klasma.github.io/Logging_1885/kartor/A 1475-2025 karta.png", "A 1475-2025")</f>
        <v/>
      </c>
      <c r="V166">
        <f>HYPERLINK("https://klasma.github.io/Logging_1885/klagomål/A 1475-2025 FSC-klagomål.docx", "A 1475-2025")</f>
        <v/>
      </c>
      <c r="W166">
        <f>HYPERLINK("https://klasma.github.io/Logging_1885/klagomålsmail/A 1475-2025 FSC-klagomål mail.docx", "A 1475-2025")</f>
        <v/>
      </c>
      <c r="X166">
        <f>HYPERLINK("https://klasma.github.io/Logging_1885/tillsyn/A 1475-2025 tillsynsbegäran.docx", "A 1475-2025")</f>
        <v/>
      </c>
      <c r="Y166">
        <f>HYPERLINK("https://klasma.github.io/Logging_1885/tillsynsmail/A 1475-2025 tillsynsbegäran mail.docx", "A 1475-2025")</f>
        <v/>
      </c>
    </row>
    <row r="167" ht="15" customHeight="1">
      <c r="A167" t="inlineStr">
        <is>
          <t>A 42442-2024</t>
        </is>
      </c>
      <c r="B167" s="1" t="n">
        <v>45565</v>
      </c>
      <c r="C167" s="1" t="n">
        <v>45952</v>
      </c>
      <c r="D167" t="inlineStr">
        <is>
          <t>ÖREBRO LÄN</t>
        </is>
      </c>
      <c r="E167" t="inlineStr">
        <is>
          <t>HALLSBERG</t>
        </is>
      </c>
      <c r="F167" t="inlineStr">
        <is>
          <t>Sveaskog</t>
        </is>
      </c>
      <c r="G167" t="n">
        <v>3.6</v>
      </c>
      <c r="H167" t="n">
        <v>1</v>
      </c>
      <c r="I167" t="n">
        <v>1</v>
      </c>
      <c r="J167" t="n">
        <v>0</v>
      </c>
      <c r="K167" t="n">
        <v>0</v>
      </c>
      <c r="L167" t="n">
        <v>0</v>
      </c>
      <c r="M167" t="n">
        <v>0</v>
      </c>
      <c r="N167" t="n">
        <v>0</v>
      </c>
      <c r="O167" t="n">
        <v>0</v>
      </c>
      <c r="P167" t="n">
        <v>0</v>
      </c>
      <c r="Q167" t="n">
        <v>2</v>
      </c>
      <c r="R167" s="2" t="inlineStr">
        <is>
          <t>Vedticka
Revlummer</t>
        </is>
      </c>
      <c r="S167">
        <f>HYPERLINK("https://klasma.github.io/Logging_1861/artfynd/A 42442-2024 artfynd.xlsx", "A 42442-2024")</f>
        <v/>
      </c>
      <c r="T167">
        <f>HYPERLINK("https://klasma.github.io/Logging_1861/kartor/A 42442-2024 karta.png", "A 42442-2024")</f>
        <v/>
      </c>
      <c r="V167">
        <f>HYPERLINK("https://klasma.github.io/Logging_1861/klagomål/A 42442-2024 FSC-klagomål.docx", "A 42442-2024")</f>
        <v/>
      </c>
      <c r="W167">
        <f>HYPERLINK("https://klasma.github.io/Logging_1861/klagomålsmail/A 42442-2024 FSC-klagomål mail.docx", "A 42442-2024")</f>
        <v/>
      </c>
      <c r="X167">
        <f>HYPERLINK("https://klasma.github.io/Logging_1861/tillsyn/A 42442-2024 tillsynsbegäran.docx", "A 42442-2024")</f>
        <v/>
      </c>
      <c r="Y167">
        <f>HYPERLINK("https://klasma.github.io/Logging_1861/tillsynsmail/A 42442-2024 tillsynsbegäran mail.docx", "A 42442-2024")</f>
        <v/>
      </c>
    </row>
    <row r="168" ht="15" customHeight="1">
      <c r="A168" t="inlineStr">
        <is>
          <t>A 33104-2024</t>
        </is>
      </c>
      <c r="B168" s="1" t="n">
        <v>45517</v>
      </c>
      <c r="C168" s="1" t="n">
        <v>45952</v>
      </c>
      <c r="D168" t="inlineStr">
        <is>
          <t>ÖREBRO LÄN</t>
        </is>
      </c>
      <c r="E168" t="inlineStr">
        <is>
          <t>LEKEBERG</t>
        </is>
      </c>
      <c r="G168" t="n">
        <v>4.6</v>
      </c>
      <c r="H168" t="n">
        <v>0</v>
      </c>
      <c r="I168" t="n">
        <v>0</v>
      </c>
      <c r="J168" t="n">
        <v>2</v>
      </c>
      <c r="K168" t="n">
        <v>0</v>
      </c>
      <c r="L168" t="n">
        <v>0</v>
      </c>
      <c r="M168" t="n">
        <v>0</v>
      </c>
      <c r="N168" t="n">
        <v>0</v>
      </c>
      <c r="O168" t="n">
        <v>2</v>
      </c>
      <c r="P168" t="n">
        <v>0</v>
      </c>
      <c r="Q168" t="n">
        <v>2</v>
      </c>
      <c r="R168" s="2" t="inlineStr">
        <is>
          <t>Blekspindling agg.
Garnlav</t>
        </is>
      </c>
      <c r="S168">
        <f>HYPERLINK("https://klasma.github.io/Logging_1814/artfynd/A 33104-2024 artfynd.xlsx", "A 33104-2024")</f>
        <v/>
      </c>
      <c r="T168">
        <f>HYPERLINK("https://klasma.github.io/Logging_1814/kartor/A 33104-2024 karta.png", "A 33104-2024")</f>
        <v/>
      </c>
      <c r="U168">
        <f>HYPERLINK("https://klasma.github.io/Logging_1814/knärot/A 33104-2024 karta knärot.png", "A 33104-2024")</f>
        <v/>
      </c>
      <c r="V168">
        <f>HYPERLINK("https://klasma.github.io/Logging_1814/klagomål/A 33104-2024 FSC-klagomål.docx", "A 33104-2024")</f>
        <v/>
      </c>
      <c r="W168">
        <f>HYPERLINK("https://klasma.github.io/Logging_1814/klagomålsmail/A 33104-2024 FSC-klagomål mail.docx", "A 33104-2024")</f>
        <v/>
      </c>
      <c r="X168">
        <f>HYPERLINK("https://klasma.github.io/Logging_1814/tillsyn/A 33104-2024 tillsynsbegäran.docx", "A 33104-2024")</f>
        <v/>
      </c>
      <c r="Y168">
        <f>HYPERLINK("https://klasma.github.io/Logging_1814/tillsynsmail/A 33104-2024 tillsynsbegäran mail.docx", "A 33104-2024")</f>
        <v/>
      </c>
    </row>
    <row r="169" ht="15" customHeight="1">
      <c r="A169" t="inlineStr">
        <is>
          <t>A 21848-2025</t>
        </is>
      </c>
      <c r="B169" s="1" t="n">
        <v>45784</v>
      </c>
      <c r="C169" s="1" t="n">
        <v>45952</v>
      </c>
      <c r="D169" t="inlineStr">
        <is>
          <t>ÖREBRO LÄN</t>
        </is>
      </c>
      <c r="E169" t="inlineStr">
        <is>
          <t>HÄLLEFORS</t>
        </is>
      </c>
      <c r="F169" t="inlineStr">
        <is>
          <t>Sveaskog</t>
        </is>
      </c>
      <c r="G169" t="n">
        <v>4.9</v>
      </c>
      <c r="H169" t="n">
        <v>1</v>
      </c>
      <c r="I169" t="n">
        <v>1</v>
      </c>
      <c r="J169" t="n">
        <v>0</v>
      </c>
      <c r="K169" t="n">
        <v>0</v>
      </c>
      <c r="L169" t="n">
        <v>0</v>
      </c>
      <c r="M169" t="n">
        <v>0</v>
      </c>
      <c r="N169" t="n">
        <v>0</v>
      </c>
      <c r="O169" t="n">
        <v>0</v>
      </c>
      <c r="P169" t="n">
        <v>0</v>
      </c>
      <c r="Q169" t="n">
        <v>2</v>
      </c>
      <c r="R169" s="2" t="inlineStr">
        <is>
          <t>Stuplav
Tjäder</t>
        </is>
      </c>
      <c r="S169">
        <f>HYPERLINK("https://klasma.github.io/Logging_1863/artfynd/A 21848-2025 artfynd.xlsx", "A 21848-2025")</f>
        <v/>
      </c>
      <c r="T169">
        <f>HYPERLINK("https://klasma.github.io/Logging_1863/kartor/A 21848-2025 karta.png", "A 21848-2025")</f>
        <v/>
      </c>
      <c r="V169">
        <f>HYPERLINK("https://klasma.github.io/Logging_1863/klagomål/A 21848-2025 FSC-klagomål.docx", "A 21848-2025")</f>
        <v/>
      </c>
      <c r="W169">
        <f>HYPERLINK("https://klasma.github.io/Logging_1863/klagomålsmail/A 21848-2025 FSC-klagomål mail.docx", "A 21848-2025")</f>
        <v/>
      </c>
      <c r="X169">
        <f>HYPERLINK("https://klasma.github.io/Logging_1863/tillsyn/A 21848-2025 tillsynsbegäran.docx", "A 21848-2025")</f>
        <v/>
      </c>
      <c r="Y169">
        <f>HYPERLINK("https://klasma.github.io/Logging_1863/tillsynsmail/A 21848-2025 tillsynsbegäran mail.docx", "A 21848-2025")</f>
        <v/>
      </c>
      <c r="Z169">
        <f>HYPERLINK("https://klasma.github.io/Logging_1863/fåglar/A 21848-2025 prioriterade fågelarter.docx", "A 21848-2025")</f>
        <v/>
      </c>
    </row>
    <row r="170" ht="15" customHeight="1">
      <c r="A170" t="inlineStr">
        <is>
          <t>A 51036-2022</t>
        </is>
      </c>
      <c r="B170" s="1" t="n">
        <v>44868.3161574074</v>
      </c>
      <c r="C170" s="1" t="n">
        <v>45952</v>
      </c>
      <c r="D170" t="inlineStr">
        <is>
          <t>ÖREBRO LÄN</t>
        </is>
      </c>
      <c r="E170" t="inlineStr">
        <is>
          <t>NORA</t>
        </is>
      </c>
      <c r="G170" t="n">
        <v>3.2</v>
      </c>
      <c r="H170" t="n">
        <v>0</v>
      </c>
      <c r="I170" t="n">
        <v>2</v>
      </c>
      <c r="J170" t="n">
        <v>0</v>
      </c>
      <c r="K170" t="n">
        <v>0</v>
      </c>
      <c r="L170" t="n">
        <v>0</v>
      </c>
      <c r="M170" t="n">
        <v>0</v>
      </c>
      <c r="N170" t="n">
        <v>0</v>
      </c>
      <c r="O170" t="n">
        <v>0</v>
      </c>
      <c r="P170" t="n">
        <v>0</v>
      </c>
      <c r="Q170" t="n">
        <v>2</v>
      </c>
      <c r="R170" s="2" t="inlineStr">
        <is>
          <t>Blåmossa
Vårärt</t>
        </is>
      </c>
      <c r="S170">
        <f>HYPERLINK("https://klasma.github.io/Logging_1884/artfynd/A 51036-2022 artfynd.xlsx", "A 51036-2022")</f>
        <v/>
      </c>
      <c r="T170">
        <f>HYPERLINK("https://klasma.github.io/Logging_1884/kartor/A 51036-2022 karta.png", "A 51036-2022")</f>
        <v/>
      </c>
      <c r="V170">
        <f>HYPERLINK("https://klasma.github.io/Logging_1884/klagomål/A 51036-2022 FSC-klagomål.docx", "A 51036-2022")</f>
        <v/>
      </c>
      <c r="W170">
        <f>HYPERLINK("https://klasma.github.io/Logging_1884/klagomålsmail/A 51036-2022 FSC-klagomål mail.docx", "A 51036-2022")</f>
        <v/>
      </c>
      <c r="X170">
        <f>HYPERLINK("https://klasma.github.io/Logging_1884/tillsyn/A 51036-2022 tillsynsbegäran.docx", "A 51036-2022")</f>
        <v/>
      </c>
      <c r="Y170">
        <f>HYPERLINK("https://klasma.github.io/Logging_1884/tillsynsmail/A 51036-2022 tillsynsbegäran mail.docx", "A 51036-2022")</f>
        <v/>
      </c>
    </row>
    <row r="171" ht="15" customHeight="1">
      <c r="A171" t="inlineStr">
        <is>
          <t>A 15687-2023</t>
        </is>
      </c>
      <c r="B171" s="1" t="n">
        <v>45021</v>
      </c>
      <c r="C171" s="1" t="n">
        <v>45952</v>
      </c>
      <c r="D171" t="inlineStr">
        <is>
          <t>ÖREBRO LÄN</t>
        </is>
      </c>
      <c r="E171" t="inlineStr">
        <is>
          <t>LINDESBERG</t>
        </is>
      </c>
      <c r="G171" t="n">
        <v>1.4</v>
      </c>
      <c r="H171" t="n">
        <v>1</v>
      </c>
      <c r="I171" t="n">
        <v>2</v>
      </c>
      <c r="J171" t="n">
        <v>0</v>
      </c>
      <c r="K171" t="n">
        <v>0</v>
      </c>
      <c r="L171" t="n">
        <v>0</v>
      </c>
      <c r="M171" t="n">
        <v>0</v>
      </c>
      <c r="N171" t="n">
        <v>0</v>
      </c>
      <c r="O171" t="n">
        <v>0</v>
      </c>
      <c r="P171" t="n">
        <v>0</v>
      </c>
      <c r="Q171" t="n">
        <v>2</v>
      </c>
      <c r="R171" s="2" t="inlineStr">
        <is>
          <t>Rödgul trumpetsvamp
Tvåblad</t>
        </is>
      </c>
      <c r="S171">
        <f>HYPERLINK("https://klasma.github.io/Logging_1885/artfynd/A 15687-2023 artfynd.xlsx", "A 15687-2023")</f>
        <v/>
      </c>
      <c r="T171">
        <f>HYPERLINK("https://klasma.github.io/Logging_1885/kartor/A 15687-2023 karta.png", "A 15687-2023")</f>
        <v/>
      </c>
      <c r="V171">
        <f>HYPERLINK("https://klasma.github.io/Logging_1885/klagomål/A 15687-2023 FSC-klagomål.docx", "A 15687-2023")</f>
        <v/>
      </c>
      <c r="W171">
        <f>HYPERLINK("https://klasma.github.io/Logging_1885/klagomålsmail/A 15687-2023 FSC-klagomål mail.docx", "A 15687-2023")</f>
        <v/>
      </c>
      <c r="X171">
        <f>HYPERLINK("https://klasma.github.io/Logging_1885/tillsyn/A 15687-2023 tillsynsbegäran.docx", "A 15687-2023")</f>
        <v/>
      </c>
      <c r="Y171">
        <f>HYPERLINK("https://klasma.github.io/Logging_1885/tillsynsmail/A 15687-2023 tillsynsbegäran mail.docx", "A 15687-2023")</f>
        <v/>
      </c>
    </row>
    <row r="172" ht="15" customHeight="1">
      <c r="A172" t="inlineStr">
        <is>
          <t>A 47898-2025</t>
        </is>
      </c>
      <c r="B172" s="1" t="n">
        <v>45932.49184027778</v>
      </c>
      <c r="C172" s="1" t="n">
        <v>45952</v>
      </c>
      <c r="D172" t="inlineStr">
        <is>
          <t>ÖREBRO LÄN</t>
        </is>
      </c>
      <c r="E172" t="inlineStr">
        <is>
          <t>HALLSBERG</t>
        </is>
      </c>
      <c r="F172" t="inlineStr">
        <is>
          <t>Sveaskog</t>
        </is>
      </c>
      <c r="G172" t="n">
        <v>5.6</v>
      </c>
      <c r="H172" t="n">
        <v>0</v>
      </c>
      <c r="I172" t="n">
        <v>1</v>
      </c>
      <c r="J172" t="n">
        <v>1</v>
      </c>
      <c r="K172" t="n">
        <v>0</v>
      </c>
      <c r="L172" t="n">
        <v>0</v>
      </c>
      <c r="M172" t="n">
        <v>0</v>
      </c>
      <c r="N172" t="n">
        <v>0</v>
      </c>
      <c r="O172" t="n">
        <v>1</v>
      </c>
      <c r="P172" t="n">
        <v>0</v>
      </c>
      <c r="Q172" t="n">
        <v>2</v>
      </c>
      <c r="R172" s="2" t="inlineStr">
        <is>
          <t>Ullticka
Björksplintborre</t>
        </is>
      </c>
      <c r="S172">
        <f>HYPERLINK("https://klasma.github.io/Logging_1861/artfynd/A 47898-2025 artfynd.xlsx", "A 47898-2025")</f>
        <v/>
      </c>
      <c r="T172">
        <f>HYPERLINK("https://klasma.github.io/Logging_1861/kartor/A 47898-2025 karta.png", "A 47898-2025")</f>
        <v/>
      </c>
      <c r="V172">
        <f>HYPERLINK("https://klasma.github.io/Logging_1861/klagomål/A 47898-2025 FSC-klagomål.docx", "A 47898-2025")</f>
        <v/>
      </c>
      <c r="W172">
        <f>HYPERLINK("https://klasma.github.io/Logging_1861/klagomålsmail/A 47898-2025 FSC-klagomål mail.docx", "A 47898-2025")</f>
        <v/>
      </c>
      <c r="X172">
        <f>HYPERLINK("https://klasma.github.io/Logging_1861/tillsyn/A 47898-2025 tillsynsbegäran.docx", "A 47898-2025")</f>
        <v/>
      </c>
      <c r="Y172">
        <f>HYPERLINK("https://klasma.github.io/Logging_1861/tillsynsmail/A 47898-2025 tillsynsbegäran mail.docx", "A 47898-2025")</f>
        <v/>
      </c>
    </row>
    <row r="173" ht="15" customHeight="1">
      <c r="A173" t="inlineStr">
        <is>
          <t>A 35946-2023</t>
        </is>
      </c>
      <c r="B173" s="1" t="n">
        <v>45148</v>
      </c>
      <c r="C173" s="1" t="n">
        <v>45952</v>
      </c>
      <c r="D173" t="inlineStr">
        <is>
          <t>ÖREBRO LÄN</t>
        </is>
      </c>
      <c r="E173" t="inlineStr">
        <is>
          <t>HALLSBERG</t>
        </is>
      </c>
      <c r="G173" t="n">
        <v>1.6</v>
      </c>
      <c r="H173" t="n">
        <v>1</v>
      </c>
      <c r="I173" t="n">
        <v>0</v>
      </c>
      <c r="J173" t="n">
        <v>0</v>
      </c>
      <c r="K173" t="n">
        <v>0</v>
      </c>
      <c r="L173" t="n">
        <v>2</v>
      </c>
      <c r="M173" t="n">
        <v>0</v>
      </c>
      <c r="N173" t="n">
        <v>0</v>
      </c>
      <c r="O173" t="n">
        <v>2</v>
      </c>
      <c r="P173" t="n">
        <v>2</v>
      </c>
      <c r="Q173" t="n">
        <v>2</v>
      </c>
      <c r="R173" s="2" t="inlineStr">
        <is>
          <t>Ask
Tistelsnyltrot</t>
        </is>
      </c>
      <c r="S173">
        <f>HYPERLINK("https://klasma.github.io/Logging_1861/artfynd/A 35946-2023 artfynd.xlsx", "A 35946-2023")</f>
        <v/>
      </c>
      <c r="T173">
        <f>HYPERLINK("https://klasma.github.io/Logging_1861/kartor/A 35946-2023 karta.png", "A 35946-2023")</f>
        <v/>
      </c>
      <c r="V173">
        <f>HYPERLINK("https://klasma.github.io/Logging_1861/klagomål/A 35946-2023 FSC-klagomål.docx", "A 35946-2023")</f>
        <v/>
      </c>
      <c r="W173">
        <f>HYPERLINK("https://klasma.github.io/Logging_1861/klagomålsmail/A 35946-2023 FSC-klagomål mail.docx", "A 35946-2023")</f>
        <v/>
      </c>
      <c r="X173">
        <f>HYPERLINK("https://klasma.github.io/Logging_1861/tillsyn/A 35946-2023 tillsynsbegäran.docx", "A 35946-2023")</f>
        <v/>
      </c>
      <c r="Y173">
        <f>HYPERLINK("https://klasma.github.io/Logging_1861/tillsynsmail/A 35946-2023 tillsynsbegäran mail.docx", "A 35946-2023")</f>
        <v/>
      </c>
    </row>
    <row r="174" ht="15" customHeight="1">
      <c r="A174" t="inlineStr">
        <is>
          <t>A 23237-2025</t>
        </is>
      </c>
      <c r="B174" s="1" t="n">
        <v>45791.49608796297</v>
      </c>
      <c r="C174" s="1" t="n">
        <v>45952</v>
      </c>
      <c r="D174" t="inlineStr">
        <is>
          <t>ÖREBRO LÄN</t>
        </is>
      </c>
      <c r="E174" t="inlineStr">
        <is>
          <t>LAXÅ</t>
        </is>
      </c>
      <c r="F174" t="inlineStr">
        <is>
          <t>Sveaskog</t>
        </is>
      </c>
      <c r="G174" t="n">
        <v>3.3</v>
      </c>
      <c r="H174" t="n">
        <v>0</v>
      </c>
      <c r="I174" t="n">
        <v>1</v>
      </c>
      <c r="J174" t="n">
        <v>1</v>
      </c>
      <c r="K174" t="n">
        <v>0</v>
      </c>
      <c r="L174" t="n">
        <v>0</v>
      </c>
      <c r="M174" t="n">
        <v>0</v>
      </c>
      <c r="N174" t="n">
        <v>0</v>
      </c>
      <c r="O174" t="n">
        <v>1</v>
      </c>
      <c r="P174" t="n">
        <v>0</v>
      </c>
      <c r="Q174" t="n">
        <v>2</v>
      </c>
      <c r="R174" s="2" t="inlineStr">
        <is>
          <t>Motaggsvamp
Fjällig taggsvamp s.str.</t>
        </is>
      </c>
      <c r="S174">
        <f>HYPERLINK("https://klasma.github.io/Logging_1860/artfynd/A 23237-2025 artfynd.xlsx", "A 23237-2025")</f>
        <v/>
      </c>
      <c r="T174">
        <f>HYPERLINK("https://klasma.github.io/Logging_1860/kartor/A 23237-2025 karta.png", "A 23237-2025")</f>
        <v/>
      </c>
      <c r="V174">
        <f>HYPERLINK("https://klasma.github.io/Logging_1860/klagomål/A 23237-2025 FSC-klagomål.docx", "A 23237-2025")</f>
        <v/>
      </c>
      <c r="W174">
        <f>HYPERLINK("https://klasma.github.io/Logging_1860/klagomålsmail/A 23237-2025 FSC-klagomål mail.docx", "A 23237-2025")</f>
        <v/>
      </c>
      <c r="X174">
        <f>HYPERLINK("https://klasma.github.io/Logging_1860/tillsyn/A 23237-2025 tillsynsbegäran.docx", "A 23237-2025")</f>
        <v/>
      </c>
      <c r="Y174">
        <f>HYPERLINK("https://klasma.github.io/Logging_1860/tillsynsmail/A 23237-2025 tillsynsbegäran mail.docx", "A 23237-2025")</f>
        <v/>
      </c>
    </row>
    <row r="175" ht="15" customHeight="1">
      <c r="A175" t="inlineStr">
        <is>
          <t>A 33574-2022</t>
        </is>
      </c>
      <c r="B175" s="1" t="n">
        <v>44789</v>
      </c>
      <c r="C175" s="1" t="n">
        <v>45952</v>
      </c>
      <c r="D175" t="inlineStr">
        <is>
          <t>ÖREBRO LÄN</t>
        </is>
      </c>
      <c r="E175" t="inlineStr">
        <is>
          <t>LINDESBERG</t>
        </is>
      </c>
      <c r="G175" t="n">
        <v>11.5</v>
      </c>
      <c r="H175" t="n">
        <v>1</v>
      </c>
      <c r="I175" t="n">
        <v>1</v>
      </c>
      <c r="J175" t="n">
        <v>0</v>
      </c>
      <c r="K175" t="n">
        <v>1</v>
      </c>
      <c r="L175" t="n">
        <v>0</v>
      </c>
      <c r="M175" t="n">
        <v>0</v>
      </c>
      <c r="N175" t="n">
        <v>0</v>
      </c>
      <c r="O175" t="n">
        <v>1</v>
      </c>
      <c r="P175" t="n">
        <v>1</v>
      </c>
      <c r="Q175" t="n">
        <v>2</v>
      </c>
      <c r="R175" s="2" t="inlineStr">
        <is>
          <t>Knärot
Vedticka</t>
        </is>
      </c>
      <c r="S175">
        <f>HYPERLINK("https://klasma.github.io/Logging_1885/artfynd/A 33574-2022 artfynd.xlsx", "A 33574-2022")</f>
        <v/>
      </c>
      <c r="T175">
        <f>HYPERLINK("https://klasma.github.io/Logging_1885/kartor/A 33574-2022 karta.png", "A 33574-2022")</f>
        <v/>
      </c>
      <c r="U175">
        <f>HYPERLINK("https://klasma.github.io/Logging_1885/knärot/A 33574-2022 karta knärot.png", "A 33574-2022")</f>
        <v/>
      </c>
      <c r="V175">
        <f>HYPERLINK("https://klasma.github.io/Logging_1885/klagomål/A 33574-2022 FSC-klagomål.docx", "A 33574-2022")</f>
        <v/>
      </c>
      <c r="W175">
        <f>HYPERLINK("https://klasma.github.io/Logging_1885/klagomålsmail/A 33574-2022 FSC-klagomål mail.docx", "A 33574-2022")</f>
        <v/>
      </c>
      <c r="X175">
        <f>HYPERLINK("https://klasma.github.io/Logging_1885/tillsyn/A 33574-2022 tillsynsbegäran.docx", "A 33574-2022")</f>
        <v/>
      </c>
      <c r="Y175">
        <f>HYPERLINK("https://klasma.github.io/Logging_1885/tillsynsmail/A 33574-2022 tillsynsbegäran mail.docx", "A 33574-2022")</f>
        <v/>
      </c>
    </row>
    <row r="176" ht="15" customHeight="1">
      <c r="A176" t="inlineStr">
        <is>
          <t>A 49300-2025</t>
        </is>
      </c>
      <c r="B176" s="1" t="n">
        <v>45936</v>
      </c>
      <c r="C176" s="1" t="n">
        <v>45952</v>
      </c>
      <c r="D176" t="inlineStr">
        <is>
          <t>ÖREBRO LÄN</t>
        </is>
      </c>
      <c r="E176" t="inlineStr">
        <is>
          <t>LJUSNARSBERG</t>
        </is>
      </c>
      <c r="F176" t="inlineStr">
        <is>
          <t>Bergvik skog väst AB</t>
        </is>
      </c>
      <c r="G176" t="n">
        <v>7</v>
      </c>
      <c r="H176" t="n">
        <v>0</v>
      </c>
      <c r="I176" t="n">
        <v>0</v>
      </c>
      <c r="J176" t="n">
        <v>1</v>
      </c>
      <c r="K176" t="n">
        <v>1</v>
      </c>
      <c r="L176" t="n">
        <v>0</v>
      </c>
      <c r="M176" t="n">
        <v>0</v>
      </c>
      <c r="N176" t="n">
        <v>0</v>
      </c>
      <c r="O176" t="n">
        <v>2</v>
      </c>
      <c r="P176" t="n">
        <v>1</v>
      </c>
      <c r="Q176" t="n">
        <v>2</v>
      </c>
      <c r="R176" s="2" t="inlineStr">
        <is>
          <t>Rynkskinn
Ullticka</t>
        </is>
      </c>
      <c r="S176">
        <f>HYPERLINK("https://klasma.github.io/Logging_1864/artfynd/A 49300-2025 artfynd.xlsx", "A 49300-2025")</f>
        <v/>
      </c>
      <c r="T176">
        <f>HYPERLINK("https://klasma.github.io/Logging_1864/kartor/A 49300-2025 karta.png", "A 49300-2025")</f>
        <v/>
      </c>
      <c r="V176">
        <f>HYPERLINK("https://klasma.github.io/Logging_1864/klagomål/A 49300-2025 FSC-klagomål.docx", "A 49300-2025")</f>
        <v/>
      </c>
      <c r="W176">
        <f>HYPERLINK("https://klasma.github.io/Logging_1864/klagomålsmail/A 49300-2025 FSC-klagomål mail.docx", "A 49300-2025")</f>
        <v/>
      </c>
      <c r="X176">
        <f>HYPERLINK("https://klasma.github.io/Logging_1864/tillsyn/A 49300-2025 tillsynsbegäran.docx", "A 49300-2025")</f>
        <v/>
      </c>
      <c r="Y176">
        <f>HYPERLINK("https://klasma.github.io/Logging_1864/tillsynsmail/A 49300-2025 tillsynsbegäran mail.docx", "A 49300-2025")</f>
        <v/>
      </c>
    </row>
    <row r="177" ht="15" customHeight="1">
      <c r="A177" t="inlineStr">
        <is>
          <t>A 42748-2024</t>
        </is>
      </c>
      <c r="B177" s="1" t="n">
        <v>45566</v>
      </c>
      <c r="C177" s="1" t="n">
        <v>45952</v>
      </c>
      <c r="D177" t="inlineStr">
        <is>
          <t>ÖREBRO LÄN</t>
        </is>
      </c>
      <c r="E177" t="inlineStr">
        <is>
          <t>LEKEBERG</t>
        </is>
      </c>
      <c r="G177" t="n">
        <v>9.699999999999999</v>
      </c>
      <c r="H177" t="n">
        <v>0</v>
      </c>
      <c r="I177" t="n">
        <v>2</v>
      </c>
      <c r="J177" t="n">
        <v>0</v>
      </c>
      <c r="K177" t="n">
        <v>0</v>
      </c>
      <c r="L177" t="n">
        <v>0</v>
      </c>
      <c r="M177" t="n">
        <v>0</v>
      </c>
      <c r="N177" t="n">
        <v>0</v>
      </c>
      <c r="O177" t="n">
        <v>0</v>
      </c>
      <c r="P177" t="n">
        <v>0</v>
      </c>
      <c r="Q177" t="n">
        <v>2</v>
      </c>
      <c r="R177" s="2" t="inlineStr">
        <is>
          <t>Granriska
Rostfläck</t>
        </is>
      </c>
      <c r="S177">
        <f>HYPERLINK("https://klasma.github.io/Logging_1814/artfynd/A 42748-2024 artfynd.xlsx", "A 42748-2024")</f>
        <v/>
      </c>
      <c r="T177">
        <f>HYPERLINK("https://klasma.github.io/Logging_1814/kartor/A 42748-2024 karta.png", "A 42748-2024")</f>
        <v/>
      </c>
      <c r="U177">
        <f>HYPERLINK("https://klasma.github.io/Logging_1814/knärot/A 42748-2024 karta knärot.png", "A 42748-2024")</f>
        <v/>
      </c>
      <c r="V177">
        <f>HYPERLINK("https://klasma.github.io/Logging_1814/klagomål/A 42748-2024 FSC-klagomål.docx", "A 42748-2024")</f>
        <v/>
      </c>
      <c r="W177">
        <f>HYPERLINK("https://klasma.github.io/Logging_1814/klagomålsmail/A 42748-2024 FSC-klagomål mail.docx", "A 42748-2024")</f>
        <v/>
      </c>
      <c r="X177">
        <f>HYPERLINK("https://klasma.github.io/Logging_1814/tillsyn/A 42748-2024 tillsynsbegäran.docx", "A 42748-2024")</f>
        <v/>
      </c>
      <c r="Y177">
        <f>HYPERLINK("https://klasma.github.io/Logging_1814/tillsynsmail/A 42748-2024 tillsynsbegäran mail.docx", "A 42748-2024")</f>
        <v/>
      </c>
    </row>
    <row r="178" ht="15" customHeight="1">
      <c r="A178" t="inlineStr">
        <is>
          <t>A 16932-2025</t>
        </is>
      </c>
      <c r="B178" s="1" t="n">
        <v>45755.40261574074</v>
      </c>
      <c r="C178" s="1" t="n">
        <v>45952</v>
      </c>
      <c r="D178" t="inlineStr">
        <is>
          <t>ÖREBRO LÄN</t>
        </is>
      </c>
      <c r="E178" t="inlineStr">
        <is>
          <t>HÄLLEFORS</t>
        </is>
      </c>
      <c r="F178" t="inlineStr">
        <is>
          <t>Bergvik skog väst AB</t>
        </is>
      </c>
      <c r="G178" t="n">
        <v>4.9</v>
      </c>
      <c r="H178" t="n">
        <v>2</v>
      </c>
      <c r="I178" t="n">
        <v>0</v>
      </c>
      <c r="J178" t="n">
        <v>0</v>
      </c>
      <c r="K178" t="n">
        <v>0</v>
      </c>
      <c r="L178" t="n">
        <v>0</v>
      </c>
      <c r="M178" t="n">
        <v>0</v>
      </c>
      <c r="N178" t="n">
        <v>0</v>
      </c>
      <c r="O178" t="n">
        <v>0</v>
      </c>
      <c r="P178" t="n">
        <v>0</v>
      </c>
      <c r="Q178" t="n">
        <v>2</v>
      </c>
      <c r="R178" s="2" t="inlineStr">
        <is>
          <t>Kungsfågel
Revlummer</t>
        </is>
      </c>
      <c r="S178">
        <f>HYPERLINK("https://klasma.github.io/Logging_1863/artfynd/A 16932-2025 artfynd.xlsx", "A 16932-2025")</f>
        <v/>
      </c>
      <c r="T178">
        <f>HYPERLINK("https://klasma.github.io/Logging_1863/kartor/A 16932-2025 karta.png", "A 16932-2025")</f>
        <v/>
      </c>
      <c r="V178">
        <f>HYPERLINK("https://klasma.github.io/Logging_1863/klagomål/A 16932-2025 FSC-klagomål.docx", "A 16932-2025")</f>
        <v/>
      </c>
      <c r="W178">
        <f>HYPERLINK("https://klasma.github.io/Logging_1863/klagomålsmail/A 16932-2025 FSC-klagomål mail.docx", "A 16932-2025")</f>
        <v/>
      </c>
      <c r="X178">
        <f>HYPERLINK("https://klasma.github.io/Logging_1863/tillsyn/A 16932-2025 tillsynsbegäran.docx", "A 16932-2025")</f>
        <v/>
      </c>
      <c r="Y178">
        <f>HYPERLINK("https://klasma.github.io/Logging_1863/tillsynsmail/A 16932-2025 tillsynsbegäran mail.docx", "A 16932-2025")</f>
        <v/>
      </c>
      <c r="Z178">
        <f>HYPERLINK("https://klasma.github.io/Logging_1863/fåglar/A 16932-2025 prioriterade fågelarter.docx", "A 16932-2025")</f>
        <v/>
      </c>
    </row>
    <row r="179" ht="15" customHeight="1">
      <c r="A179" t="inlineStr">
        <is>
          <t>A 39249-2022</t>
        </is>
      </c>
      <c r="B179" s="1" t="n">
        <v>44816</v>
      </c>
      <c r="C179" s="1" t="n">
        <v>45952</v>
      </c>
      <c r="D179" t="inlineStr">
        <is>
          <t>ÖREBRO LÄN</t>
        </is>
      </c>
      <c r="E179" t="inlineStr">
        <is>
          <t>HALLSBERG</t>
        </is>
      </c>
      <c r="G179" t="n">
        <v>1.6</v>
      </c>
      <c r="H179" t="n">
        <v>1</v>
      </c>
      <c r="I179" t="n">
        <v>1</v>
      </c>
      <c r="J179" t="n">
        <v>1</v>
      </c>
      <c r="K179" t="n">
        <v>0</v>
      </c>
      <c r="L179" t="n">
        <v>0</v>
      </c>
      <c r="M179" t="n">
        <v>0</v>
      </c>
      <c r="N179" t="n">
        <v>0</v>
      </c>
      <c r="O179" t="n">
        <v>1</v>
      </c>
      <c r="P179" t="n">
        <v>0</v>
      </c>
      <c r="Q179" t="n">
        <v>2</v>
      </c>
      <c r="R179" s="2" t="inlineStr">
        <is>
          <t>Talltita
Björksplintborre</t>
        </is>
      </c>
      <c r="S179">
        <f>HYPERLINK("https://klasma.github.io/Logging_1861/artfynd/A 39249-2022 artfynd.xlsx", "A 39249-2022")</f>
        <v/>
      </c>
      <c r="T179">
        <f>HYPERLINK("https://klasma.github.io/Logging_1861/kartor/A 39249-2022 karta.png", "A 39249-2022")</f>
        <v/>
      </c>
      <c r="V179">
        <f>HYPERLINK("https://klasma.github.io/Logging_1861/klagomål/A 39249-2022 FSC-klagomål.docx", "A 39249-2022")</f>
        <v/>
      </c>
      <c r="W179">
        <f>HYPERLINK("https://klasma.github.io/Logging_1861/klagomålsmail/A 39249-2022 FSC-klagomål mail.docx", "A 39249-2022")</f>
        <v/>
      </c>
      <c r="X179">
        <f>HYPERLINK("https://klasma.github.io/Logging_1861/tillsyn/A 39249-2022 tillsynsbegäran.docx", "A 39249-2022")</f>
        <v/>
      </c>
      <c r="Y179">
        <f>HYPERLINK("https://klasma.github.io/Logging_1861/tillsynsmail/A 39249-2022 tillsynsbegäran mail.docx", "A 39249-2022")</f>
        <v/>
      </c>
      <c r="Z179">
        <f>HYPERLINK("https://klasma.github.io/Logging_1861/fåglar/A 39249-2022 prioriterade fågelarter.docx", "A 39249-2022")</f>
        <v/>
      </c>
    </row>
    <row r="180" ht="15" customHeight="1">
      <c r="A180" t="inlineStr">
        <is>
          <t>A 61590-2024</t>
        </is>
      </c>
      <c r="B180" s="1" t="n">
        <v>45646.63039351852</v>
      </c>
      <c r="C180" s="1" t="n">
        <v>45952</v>
      </c>
      <c r="D180" t="inlineStr">
        <is>
          <t>ÖREBRO LÄN</t>
        </is>
      </c>
      <c r="E180" t="inlineStr">
        <is>
          <t>HÄLLEFORS</t>
        </is>
      </c>
      <c r="G180" t="n">
        <v>1.1</v>
      </c>
      <c r="H180" t="n">
        <v>1</v>
      </c>
      <c r="I180" t="n">
        <v>1</v>
      </c>
      <c r="J180" t="n">
        <v>0</v>
      </c>
      <c r="K180" t="n">
        <v>0</v>
      </c>
      <c r="L180" t="n">
        <v>0</v>
      </c>
      <c r="M180" t="n">
        <v>0</v>
      </c>
      <c r="N180" t="n">
        <v>0</v>
      </c>
      <c r="O180" t="n">
        <v>0</v>
      </c>
      <c r="P180" t="n">
        <v>0</v>
      </c>
      <c r="Q180" t="n">
        <v>2</v>
      </c>
      <c r="R180" s="2" t="inlineStr">
        <is>
          <t>Mörk husmossa
Revlummer</t>
        </is>
      </c>
      <c r="S180">
        <f>HYPERLINK("https://klasma.github.io/Logging_1863/artfynd/A 61590-2024 artfynd.xlsx", "A 61590-2024")</f>
        <v/>
      </c>
      <c r="T180">
        <f>HYPERLINK("https://klasma.github.io/Logging_1863/kartor/A 61590-2024 karta.png", "A 61590-2024")</f>
        <v/>
      </c>
      <c r="V180">
        <f>HYPERLINK("https://klasma.github.io/Logging_1863/klagomål/A 61590-2024 FSC-klagomål.docx", "A 61590-2024")</f>
        <v/>
      </c>
      <c r="W180">
        <f>HYPERLINK("https://klasma.github.io/Logging_1863/klagomålsmail/A 61590-2024 FSC-klagomål mail.docx", "A 61590-2024")</f>
        <v/>
      </c>
      <c r="X180">
        <f>HYPERLINK("https://klasma.github.io/Logging_1863/tillsyn/A 61590-2024 tillsynsbegäran.docx", "A 61590-2024")</f>
        <v/>
      </c>
      <c r="Y180">
        <f>HYPERLINK("https://klasma.github.io/Logging_1863/tillsynsmail/A 61590-2024 tillsynsbegäran mail.docx", "A 61590-2024")</f>
        <v/>
      </c>
    </row>
    <row r="181" ht="15" customHeight="1">
      <c r="A181" t="inlineStr">
        <is>
          <t>A 14956-2025</t>
        </is>
      </c>
      <c r="B181" s="1" t="n">
        <v>45743.58409722222</v>
      </c>
      <c r="C181" s="1" t="n">
        <v>45952</v>
      </c>
      <c r="D181" t="inlineStr">
        <is>
          <t>ÖREBRO LÄN</t>
        </is>
      </c>
      <c r="E181" t="inlineStr">
        <is>
          <t>ÖREBRO</t>
        </is>
      </c>
      <c r="G181" t="n">
        <v>5.2</v>
      </c>
      <c r="H181" t="n">
        <v>1</v>
      </c>
      <c r="I181" t="n">
        <v>2</v>
      </c>
      <c r="J181" t="n">
        <v>0</v>
      </c>
      <c r="K181" t="n">
        <v>0</v>
      </c>
      <c r="L181" t="n">
        <v>0</v>
      </c>
      <c r="M181" t="n">
        <v>0</v>
      </c>
      <c r="N181" t="n">
        <v>0</v>
      </c>
      <c r="O181" t="n">
        <v>0</v>
      </c>
      <c r="P181" t="n">
        <v>0</v>
      </c>
      <c r="Q181" t="n">
        <v>2</v>
      </c>
      <c r="R181" s="2" t="inlineStr">
        <is>
          <t>Kalktallört
Skogsknipprot</t>
        </is>
      </c>
      <c r="S181">
        <f>HYPERLINK("https://klasma.github.io/Logging_1880/artfynd/A 14956-2025 artfynd.xlsx", "A 14956-2025")</f>
        <v/>
      </c>
      <c r="T181">
        <f>HYPERLINK("https://klasma.github.io/Logging_1880/kartor/A 14956-2025 karta.png", "A 14956-2025")</f>
        <v/>
      </c>
      <c r="V181">
        <f>HYPERLINK("https://klasma.github.io/Logging_1880/klagomål/A 14956-2025 FSC-klagomål.docx", "A 14956-2025")</f>
        <v/>
      </c>
      <c r="W181">
        <f>HYPERLINK("https://klasma.github.io/Logging_1880/klagomålsmail/A 14956-2025 FSC-klagomål mail.docx", "A 14956-2025")</f>
        <v/>
      </c>
      <c r="X181">
        <f>HYPERLINK("https://klasma.github.io/Logging_1880/tillsyn/A 14956-2025 tillsynsbegäran.docx", "A 14956-2025")</f>
        <v/>
      </c>
      <c r="Y181">
        <f>HYPERLINK("https://klasma.github.io/Logging_1880/tillsynsmail/A 14956-2025 tillsynsbegäran mail.docx", "A 14956-2025")</f>
        <v/>
      </c>
    </row>
    <row r="182" ht="15" customHeight="1">
      <c r="A182" t="inlineStr">
        <is>
          <t>A 30594-2022</t>
        </is>
      </c>
      <c r="B182" s="1" t="n">
        <v>44762.77344907408</v>
      </c>
      <c r="C182" s="1" t="n">
        <v>45952</v>
      </c>
      <c r="D182" t="inlineStr">
        <is>
          <t>ÖREBRO LÄN</t>
        </is>
      </c>
      <c r="E182" t="inlineStr">
        <is>
          <t>HALLSBERG</t>
        </is>
      </c>
      <c r="G182" t="n">
        <v>4.9</v>
      </c>
      <c r="H182" t="n">
        <v>2</v>
      </c>
      <c r="I182" t="n">
        <v>0</v>
      </c>
      <c r="J182" t="n">
        <v>0</v>
      </c>
      <c r="K182" t="n">
        <v>0</v>
      </c>
      <c r="L182" t="n">
        <v>0</v>
      </c>
      <c r="M182" t="n">
        <v>0</v>
      </c>
      <c r="N182" t="n">
        <v>0</v>
      </c>
      <c r="O182" t="n">
        <v>0</v>
      </c>
      <c r="P182" t="n">
        <v>0</v>
      </c>
      <c r="Q182" t="n">
        <v>2</v>
      </c>
      <c r="R182" s="2" t="inlineStr">
        <is>
          <t>Nattviol
Blåsippa</t>
        </is>
      </c>
      <c r="S182">
        <f>HYPERLINK("https://klasma.github.io/Logging_1861/artfynd/A 30594-2022 artfynd.xlsx", "A 30594-2022")</f>
        <v/>
      </c>
      <c r="T182">
        <f>HYPERLINK("https://klasma.github.io/Logging_1861/kartor/A 30594-2022 karta.png", "A 30594-2022")</f>
        <v/>
      </c>
      <c r="V182">
        <f>HYPERLINK("https://klasma.github.io/Logging_1861/klagomål/A 30594-2022 FSC-klagomål.docx", "A 30594-2022")</f>
        <v/>
      </c>
      <c r="W182">
        <f>HYPERLINK("https://klasma.github.io/Logging_1861/klagomålsmail/A 30594-2022 FSC-klagomål mail.docx", "A 30594-2022")</f>
        <v/>
      </c>
      <c r="X182">
        <f>HYPERLINK("https://klasma.github.io/Logging_1861/tillsyn/A 30594-2022 tillsynsbegäran.docx", "A 30594-2022")</f>
        <v/>
      </c>
      <c r="Y182">
        <f>HYPERLINK("https://klasma.github.io/Logging_1861/tillsynsmail/A 30594-2022 tillsynsbegäran mail.docx", "A 30594-2022")</f>
        <v/>
      </c>
    </row>
    <row r="183" ht="15" customHeight="1">
      <c r="A183" t="inlineStr">
        <is>
          <t>A 28113-2025</t>
        </is>
      </c>
      <c r="B183" s="1" t="n">
        <v>45817</v>
      </c>
      <c r="C183" s="1" t="n">
        <v>45952</v>
      </c>
      <c r="D183" t="inlineStr">
        <is>
          <t>ÖREBRO LÄN</t>
        </is>
      </c>
      <c r="E183" t="inlineStr">
        <is>
          <t>HALLSBERG</t>
        </is>
      </c>
      <c r="F183" t="inlineStr">
        <is>
          <t>Allmännings- och besparingsskogar</t>
        </is>
      </c>
      <c r="G183" t="n">
        <v>8.800000000000001</v>
      </c>
      <c r="H183" t="n">
        <v>2</v>
      </c>
      <c r="I183" t="n">
        <v>0</v>
      </c>
      <c r="J183" t="n">
        <v>0</v>
      </c>
      <c r="K183" t="n">
        <v>0</v>
      </c>
      <c r="L183" t="n">
        <v>0</v>
      </c>
      <c r="M183" t="n">
        <v>0</v>
      </c>
      <c r="N183" t="n">
        <v>0</v>
      </c>
      <c r="O183" t="n">
        <v>0</v>
      </c>
      <c r="P183" t="n">
        <v>0</v>
      </c>
      <c r="Q183" t="n">
        <v>2</v>
      </c>
      <c r="R183" s="2" t="inlineStr">
        <is>
          <t>Tjäder
Revlummer</t>
        </is>
      </c>
      <c r="S183">
        <f>HYPERLINK("https://klasma.github.io/Logging_1861/artfynd/A 28113-2025 artfynd.xlsx", "A 28113-2025")</f>
        <v/>
      </c>
      <c r="T183">
        <f>HYPERLINK("https://klasma.github.io/Logging_1861/kartor/A 28113-2025 karta.png", "A 28113-2025")</f>
        <v/>
      </c>
      <c r="V183">
        <f>HYPERLINK("https://klasma.github.io/Logging_1861/klagomål/A 28113-2025 FSC-klagomål.docx", "A 28113-2025")</f>
        <v/>
      </c>
      <c r="W183">
        <f>HYPERLINK("https://klasma.github.io/Logging_1861/klagomålsmail/A 28113-2025 FSC-klagomål mail.docx", "A 28113-2025")</f>
        <v/>
      </c>
      <c r="X183">
        <f>HYPERLINK("https://klasma.github.io/Logging_1861/tillsyn/A 28113-2025 tillsynsbegäran.docx", "A 28113-2025")</f>
        <v/>
      </c>
      <c r="Y183">
        <f>HYPERLINK("https://klasma.github.io/Logging_1861/tillsynsmail/A 28113-2025 tillsynsbegäran mail.docx", "A 28113-2025")</f>
        <v/>
      </c>
      <c r="Z183">
        <f>HYPERLINK("https://klasma.github.io/Logging_1861/fåglar/A 28113-2025 prioriterade fågelarter.docx", "A 28113-2025")</f>
        <v/>
      </c>
    </row>
    <row r="184" ht="15" customHeight="1">
      <c r="A184" t="inlineStr">
        <is>
          <t>A 42629-2025</t>
        </is>
      </c>
      <c r="B184" s="1" t="n">
        <v>45905.88938657408</v>
      </c>
      <c r="C184" s="1" t="n">
        <v>45952</v>
      </c>
      <c r="D184" t="inlineStr">
        <is>
          <t>ÖREBRO LÄN</t>
        </is>
      </c>
      <c r="E184" t="inlineStr">
        <is>
          <t>LINDESBERG</t>
        </is>
      </c>
      <c r="F184" t="inlineStr">
        <is>
          <t>Sveaskog</t>
        </is>
      </c>
      <c r="G184" t="n">
        <v>4.7</v>
      </c>
      <c r="H184" t="n">
        <v>2</v>
      </c>
      <c r="I184" t="n">
        <v>0</v>
      </c>
      <c r="J184" t="n">
        <v>0</v>
      </c>
      <c r="K184" t="n">
        <v>0</v>
      </c>
      <c r="L184" t="n">
        <v>0</v>
      </c>
      <c r="M184" t="n">
        <v>0</v>
      </c>
      <c r="N184" t="n">
        <v>0</v>
      </c>
      <c r="O184" t="n">
        <v>0</v>
      </c>
      <c r="P184" t="n">
        <v>0</v>
      </c>
      <c r="Q184" t="n">
        <v>2</v>
      </c>
      <c r="R184" s="2" t="inlineStr">
        <is>
          <t>Orre
Tjäder</t>
        </is>
      </c>
      <c r="S184">
        <f>HYPERLINK("https://klasma.github.io/Logging_1885/artfynd/A 42629-2025 artfynd.xlsx", "A 42629-2025")</f>
        <v/>
      </c>
      <c r="T184">
        <f>HYPERLINK("https://klasma.github.io/Logging_1885/kartor/A 42629-2025 karta.png", "A 42629-2025")</f>
        <v/>
      </c>
      <c r="V184">
        <f>HYPERLINK("https://klasma.github.io/Logging_1885/klagomål/A 42629-2025 FSC-klagomål.docx", "A 42629-2025")</f>
        <v/>
      </c>
      <c r="W184">
        <f>HYPERLINK("https://klasma.github.io/Logging_1885/klagomålsmail/A 42629-2025 FSC-klagomål mail.docx", "A 42629-2025")</f>
        <v/>
      </c>
      <c r="X184">
        <f>HYPERLINK("https://klasma.github.io/Logging_1885/tillsyn/A 42629-2025 tillsynsbegäran.docx", "A 42629-2025")</f>
        <v/>
      </c>
      <c r="Y184">
        <f>HYPERLINK("https://klasma.github.io/Logging_1885/tillsynsmail/A 42629-2025 tillsynsbegäran mail.docx", "A 42629-2025")</f>
        <v/>
      </c>
      <c r="Z184">
        <f>HYPERLINK("https://klasma.github.io/Logging_1885/fåglar/A 42629-2025 prioriterade fågelarter.docx", "A 42629-2025")</f>
        <v/>
      </c>
    </row>
    <row r="185" ht="15" customHeight="1">
      <c r="A185" t="inlineStr">
        <is>
          <t>A 51550-2025</t>
        </is>
      </c>
      <c r="B185" s="1" t="n">
        <v>45950.83359953704</v>
      </c>
      <c r="C185" s="1" t="n">
        <v>45952</v>
      </c>
      <c r="D185" t="inlineStr">
        <is>
          <t>ÖREBRO LÄN</t>
        </is>
      </c>
      <c r="E185" t="inlineStr">
        <is>
          <t>ÖREBRO</t>
        </is>
      </c>
      <c r="F185" t="inlineStr">
        <is>
          <t>Övriga Aktiebolag</t>
        </is>
      </c>
      <c r="G185" t="n">
        <v>5.5</v>
      </c>
      <c r="H185" t="n">
        <v>0</v>
      </c>
      <c r="I185" t="n">
        <v>1</v>
      </c>
      <c r="J185" t="n">
        <v>1</v>
      </c>
      <c r="K185" t="n">
        <v>0</v>
      </c>
      <c r="L185" t="n">
        <v>0</v>
      </c>
      <c r="M185" t="n">
        <v>0</v>
      </c>
      <c r="N185" t="n">
        <v>0</v>
      </c>
      <c r="O185" t="n">
        <v>1</v>
      </c>
      <c r="P185" t="n">
        <v>0</v>
      </c>
      <c r="Q185" t="n">
        <v>2</v>
      </c>
      <c r="R185" s="2" t="inlineStr">
        <is>
          <t>Bryngökbi
Tibast</t>
        </is>
      </c>
      <c r="S185">
        <f>HYPERLINK("https://klasma.github.io/Logging_1880/artfynd/A 51550-2025 artfynd.xlsx", "A 51550-2025")</f>
        <v/>
      </c>
      <c r="T185">
        <f>HYPERLINK("https://klasma.github.io/Logging_1880/kartor/A 51550-2025 karta.png", "A 51550-2025")</f>
        <v/>
      </c>
      <c r="V185">
        <f>HYPERLINK("https://klasma.github.io/Logging_1880/klagomål/A 51550-2025 FSC-klagomål.docx", "A 51550-2025")</f>
        <v/>
      </c>
      <c r="W185">
        <f>HYPERLINK("https://klasma.github.io/Logging_1880/klagomålsmail/A 51550-2025 FSC-klagomål mail.docx", "A 51550-2025")</f>
        <v/>
      </c>
      <c r="X185">
        <f>HYPERLINK("https://klasma.github.io/Logging_1880/tillsyn/A 51550-2025 tillsynsbegäran.docx", "A 51550-2025")</f>
        <v/>
      </c>
      <c r="Y185">
        <f>HYPERLINK("https://klasma.github.io/Logging_1880/tillsynsmail/A 51550-2025 tillsynsbegäran mail.docx", "A 51550-2025")</f>
        <v/>
      </c>
    </row>
    <row r="186" ht="15" customHeight="1">
      <c r="A186" t="inlineStr">
        <is>
          <t>A 30409-2025</t>
        </is>
      </c>
      <c r="B186" s="1" t="n">
        <v>45827.59738425926</v>
      </c>
      <c r="C186" s="1" t="n">
        <v>45952</v>
      </c>
      <c r="D186" t="inlineStr">
        <is>
          <t>ÖREBRO LÄN</t>
        </is>
      </c>
      <c r="E186" t="inlineStr">
        <is>
          <t>ÖREBRO</t>
        </is>
      </c>
      <c r="G186" t="n">
        <v>1.2</v>
      </c>
      <c r="H186" t="n">
        <v>0</v>
      </c>
      <c r="I186" t="n">
        <v>1</v>
      </c>
      <c r="J186" t="n">
        <v>1</v>
      </c>
      <c r="K186" t="n">
        <v>0</v>
      </c>
      <c r="L186" t="n">
        <v>0</v>
      </c>
      <c r="M186" t="n">
        <v>0</v>
      </c>
      <c r="N186" t="n">
        <v>0</v>
      </c>
      <c r="O186" t="n">
        <v>1</v>
      </c>
      <c r="P186" t="n">
        <v>0</v>
      </c>
      <c r="Q186" t="n">
        <v>2</v>
      </c>
      <c r="R186" s="2" t="inlineStr">
        <is>
          <t>Scharlakansvaxing
Gulfotsskölding</t>
        </is>
      </c>
      <c r="S186">
        <f>HYPERLINK("https://klasma.github.io/Logging_1880/artfynd/A 30409-2025 artfynd.xlsx", "A 30409-2025")</f>
        <v/>
      </c>
      <c r="T186">
        <f>HYPERLINK("https://klasma.github.io/Logging_1880/kartor/A 30409-2025 karta.png", "A 30409-2025")</f>
        <v/>
      </c>
      <c r="V186">
        <f>HYPERLINK("https://klasma.github.io/Logging_1880/klagomål/A 30409-2025 FSC-klagomål.docx", "A 30409-2025")</f>
        <v/>
      </c>
      <c r="W186">
        <f>HYPERLINK("https://klasma.github.io/Logging_1880/klagomålsmail/A 30409-2025 FSC-klagomål mail.docx", "A 30409-2025")</f>
        <v/>
      </c>
      <c r="X186">
        <f>HYPERLINK("https://klasma.github.io/Logging_1880/tillsyn/A 30409-2025 tillsynsbegäran.docx", "A 30409-2025")</f>
        <v/>
      </c>
      <c r="Y186">
        <f>HYPERLINK("https://klasma.github.io/Logging_1880/tillsynsmail/A 30409-2025 tillsynsbegäran mail.docx", "A 30409-2025")</f>
        <v/>
      </c>
    </row>
    <row r="187" ht="15" customHeight="1">
      <c r="A187" t="inlineStr">
        <is>
          <t>A 46452-2023</t>
        </is>
      </c>
      <c r="B187" s="1" t="n">
        <v>45197.59850694444</v>
      </c>
      <c r="C187" s="1" t="n">
        <v>45952</v>
      </c>
      <c r="D187" t="inlineStr">
        <is>
          <t>ÖREBRO LÄN</t>
        </is>
      </c>
      <c r="E187" t="inlineStr">
        <is>
          <t>HALLSBERG</t>
        </is>
      </c>
      <c r="G187" t="n">
        <v>2.7</v>
      </c>
      <c r="H187" t="n">
        <v>2</v>
      </c>
      <c r="I187" t="n">
        <v>0</v>
      </c>
      <c r="J187" t="n">
        <v>1</v>
      </c>
      <c r="K187" t="n">
        <v>0</v>
      </c>
      <c r="L187" t="n">
        <v>0</v>
      </c>
      <c r="M187" t="n">
        <v>0</v>
      </c>
      <c r="N187" t="n">
        <v>0</v>
      </c>
      <c r="O187" t="n">
        <v>1</v>
      </c>
      <c r="P187" t="n">
        <v>0</v>
      </c>
      <c r="Q187" t="n">
        <v>2</v>
      </c>
      <c r="R187" s="2" t="inlineStr">
        <is>
          <t>Entita
Blåsippa</t>
        </is>
      </c>
      <c r="S187">
        <f>HYPERLINK("https://klasma.github.io/Logging_1861/artfynd/A 46452-2023 artfynd.xlsx", "A 46452-2023")</f>
        <v/>
      </c>
      <c r="T187">
        <f>HYPERLINK("https://klasma.github.io/Logging_1861/kartor/A 46452-2023 karta.png", "A 46452-2023")</f>
        <v/>
      </c>
      <c r="V187">
        <f>HYPERLINK("https://klasma.github.io/Logging_1861/klagomål/A 46452-2023 FSC-klagomål.docx", "A 46452-2023")</f>
        <v/>
      </c>
      <c r="W187">
        <f>HYPERLINK("https://klasma.github.io/Logging_1861/klagomålsmail/A 46452-2023 FSC-klagomål mail.docx", "A 46452-2023")</f>
        <v/>
      </c>
      <c r="X187">
        <f>HYPERLINK("https://klasma.github.io/Logging_1861/tillsyn/A 46452-2023 tillsynsbegäran.docx", "A 46452-2023")</f>
        <v/>
      </c>
      <c r="Y187">
        <f>HYPERLINK("https://klasma.github.io/Logging_1861/tillsynsmail/A 46452-2023 tillsynsbegäran mail.docx", "A 46452-2023")</f>
        <v/>
      </c>
      <c r="Z187">
        <f>HYPERLINK("https://klasma.github.io/Logging_1861/fåglar/A 46452-2023 prioriterade fågelarter.docx", "A 46452-2023")</f>
        <v/>
      </c>
    </row>
    <row r="188" ht="15" customHeight="1">
      <c r="A188" t="inlineStr">
        <is>
          <t>A 62105-2022</t>
        </is>
      </c>
      <c r="B188" s="1" t="n">
        <v>44920</v>
      </c>
      <c r="C188" s="1" t="n">
        <v>45952</v>
      </c>
      <c r="D188" t="inlineStr">
        <is>
          <t>ÖREBRO LÄN</t>
        </is>
      </c>
      <c r="E188" t="inlineStr">
        <is>
          <t>LJUSNARSBERG</t>
        </is>
      </c>
      <c r="G188" t="n">
        <v>5.7</v>
      </c>
      <c r="H188" t="n">
        <v>2</v>
      </c>
      <c r="I188" t="n">
        <v>0</v>
      </c>
      <c r="J188" t="n">
        <v>1</v>
      </c>
      <c r="K188" t="n">
        <v>0</v>
      </c>
      <c r="L188" t="n">
        <v>0</v>
      </c>
      <c r="M188" t="n">
        <v>0</v>
      </c>
      <c r="N188" t="n">
        <v>0</v>
      </c>
      <c r="O188" t="n">
        <v>1</v>
      </c>
      <c r="P188" t="n">
        <v>0</v>
      </c>
      <c r="Q188" t="n">
        <v>2</v>
      </c>
      <c r="R188" s="2" t="inlineStr">
        <is>
          <t>Spillkråka
Kungsfågel</t>
        </is>
      </c>
      <c r="S188">
        <f>HYPERLINK("https://klasma.github.io/Logging_1864/artfynd/A 62105-2022 artfynd.xlsx", "A 62105-2022")</f>
        <v/>
      </c>
      <c r="T188">
        <f>HYPERLINK("https://klasma.github.io/Logging_1864/kartor/A 62105-2022 karta.png", "A 62105-2022")</f>
        <v/>
      </c>
      <c r="V188">
        <f>HYPERLINK("https://klasma.github.io/Logging_1864/klagomål/A 62105-2022 FSC-klagomål.docx", "A 62105-2022")</f>
        <v/>
      </c>
      <c r="W188">
        <f>HYPERLINK("https://klasma.github.io/Logging_1864/klagomålsmail/A 62105-2022 FSC-klagomål mail.docx", "A 62105-2022")</f>
        <v/>
      </c>
      <c r="X188">
        <f>HYPERLINK("https://klasma.github.io/Logging_1864/tillsyn/A 62105-2022 tillsynsbegäran.docx", "A 62105-2022")</f>
        <v/>
      </c>
      <c r="Y188">
        <f>HYPERLINK("https://klasma.github.io/Logging_1864/tillsynsmail/A 62105-2022 tillsynsbegäran mail.docx", "A 62105-2022")</f>
        <v/>
      </c>
      <c r="Z188">
        <f>HYPERLINK("https://klasma.github.io/Logging_1864/fåglar/A 62105-2022 prioriterade fågelarter.docx", "A 62105-2022")</f>
        <v/>
      </c>
    </row>
    <row r="189" ht="15" customHeight="1">
      <c r="A189" t="inlineStr">
        <is>
          <t>A 64813-2023</t>
        </is>
      </c>
      <c r="B189" s="1" t="n">
        <v>45282</v>
      </c>
      <c r="C189" s="1" t="n">
        <v>45952</v>
      </c>
      <c r="D189" t="inlineStr">
        <is>
          <t>ÖREBRO LÄN</t>
        </is>
      </c>
      <c r="E189" t="inlineStr">
        <is>
          <t>HALLSBERG</t>
        </is>
      </c>
      <c r="F189" t="inlineStr">
        <is>
          <t>Sveaskog</t>
        </is>
      </c>
      <c r="G189" t="n">
        <v>3.7</v>
      </c>
      <c r="H189" t="n">
        <v>0</v>
      </c>
      <c r="I189" t="n">
        <v>2</v>
      </c>
      <c r="J189" t="n">
        <v>0</v>
      </c>
      <c r="K189" t="n">
        <v>0</v>
      </c>
      <c r="L189" t="n">
        <v>0</v>
      </c>
      <c r="M189" t="n">
        <v>0</v>
      </c>
      <c r="N189" t="n">
        <v>0</v>
      </c>
      <c r="O189" t="n">
        <v>0</v>
      </c>
      <c r="P189" t="n">
        <v>0</v>
      </c>
      <c r="Q189" t="n">
        <v>2</v>
      </c>
      <c r="R189" s="2" t="inlineStr">
        <is>
          <t>Björksplintborre
Bronshjon</t>
        </is>
      </c>
      <c r="S189">
        <f>HYPERLINK("https://klasma.github.io/Logging_1861/artfynd/A 64813-2023 artfynd.xlsx", "A 64813-2023")</f>
        <v/>
      </c>
      <c r="T189">
        <f>HYPERLINK("https://klasma.github.io/Logging_1861/kartor/A 64813-2023 karta.png", "A 64813-2023")</f>
        <v/>
      </c>
      <c r="V189">
        <f>HYPERLINK("https://klasma.github.io/Logging_1861/klagomål/A 64813-2023 FSC-klagomål.docx", "A 64813-2023")</f>
        <v/>
      </c>
      <c r="W189">
        <f>HYPERLINK("https://klasma.github.io/Logging_1861/klagomålsmail/A 64813-2023 FSC-klagomål mail.docx", "A 64813-2023")</f>
        <v/>
      </c>
      <c r="X189">
        <f>HYPERLINK("https://klasma.github.io/Logging_1861/tillsyn/A 64813-2023 tillsynsbegäran.docx", "A 64813-2023")</f>
        <v/>
      </c>
      <c r="Y189">
        <f>HYPERLINK("https://klasma.github.io/Logging_1861/tillsynsmail/A 64813-2023 tillsynsbegäran mail.docx", "A 64813-2023")</f>
        <v/>
      </c>
    </row>
    <row r="190" ht="15" customHeight="1">
      <c r="A190" t="inlineStr">
        <is>
          <t>A 33290-2025</t>
        </is>
      </c>
      <c r="B190" s="1" t="n">
        <v>45840.87771990741</v>
      </c>
      <c r="C190" s="1" t="n">
        <v>45952</v>
      </c>
      <c r="D190" t="inlineStr">
        <is>
          <t>ÖREBRO LÄN</t>
        </is>
      </c>
      <c r="E190" t="inlineStr">
        <is>
          <t>KARLSKOGA</t>
        </is>
      </c>
      <c r="F190" t="inlineStr">
        <is>
          <t>Kyrkan</t>
        </is>
      </c>
      <c r="G190" t="n">
        <v>9.4</v>
      </c>
      <c r="H190" t="n">
        <v>2</v>
      </c>
      <c r="I190" t="n">
        <v>0</v>
      </c>
      <c r="J190" t="n">
        <v>1</v>
      </c>
      <c r="K190" t="n">
        <v>0</v>
      </c>
      <c r="L190" t="n">
        <v>0</v>
      </c>
      <c r="M190" t="n">
        <v>0</v>
      </c>
      <c r="N190" t="n">
        <v>0</v>
      </c>
      <c r="O190" t="n">
        <v>1</v>
      </c>
      <c r="P190" t="n">
        <v>0</v>
      </c>
      <c r="Q190" t="n">
        <v>2</v>
      </c>
      <c r="R190" s="2" t="inlineStr">
        <is>
          <t>Nordfladdermus
Vattenfladdermus</t>
        </is>
      </c>
      <c r="S190">
        <f>HYPERLINK("https://klasma.github.io/Logging_1883/artfynd/A 33290-2025 artfynd.xlsx", "A 33290-2025")</f>
        <v/>
      </c>
      <c r="T190">
        <f>HYPERLINK("https://klasma.github.io/Logging_1883/kartor/A 33290-2025 karta.png", "A 33290-2025")</f>
        <v/>
      </c>
      <c r="V190">
        <f>HYPERLINK("https://klasma.github.io/Logging_1883/klagomål/A 33290-2025 FSC-klagomål.docx", "A 33290-2025")</f>
        <v/>
      </c>
      <c r="W190">
        <f>HYPERLINK("https://klasma.github.io/Logging_1883/klagomålsmail/A 33290-2025 FSC-klagomål mail.docx", "A 33290-2025")</f>
        <v/>
      </c>
      <c r="X190">
        <f>HYPERLINK("https://klasma.github.io/Logging_1883/tillsyn/A 33290-2025 tillsynsbegäran.docx", "A 33290-2025")</f>
        <v/>
      </c>
      <c r="Y190">
        <f>HYPERLINK("https://klasma.github.io/Logging_1883/tillsynsmail/A 33290-2025 tillsynsbegäran mail.docx", "A 33290-2025")</f>
        <v/>
      </c>
    </row>
    <row r="191" ht="15" customHeight="1">
      <c r="A191" t="inlineStr">
        <is>
          <t>A 13395-2024</t>
        </is>
      </c>
      <c r="B191" s="1" t="n">
        <v>45387.42296296296</v>
      </c>
      <c r="C191" s="1" t="n">
        <v>45952</v>
      </c>
      <c r="D191" t="inlineStr">
        <is>
          <t>ÖREBRO LÄN</t>
        </is>
      </c>
      <c r="E191" t="inlineStr">
        <is>
          <t>ÖREBRO</t>
        </is>
      </c>
      <c r="G191" t="n">
        <v>1.9</v>
      </c>
      <c r="H191" t="n">
        <v>2</v>
      </c>
      <c r="I191" t="n">
        <v>0</v>
      </c>
      <c r="J191" t="n">
        <v>0</v>
      </c>
      <c r="K191" t="n">
        <v>0</v>
      </c>
      <c r="L191" t="n">
        <v>0</v>
      </c>
      <c r="M191" t="n">
        <v>0</v>
      </c>
      <c r="N191" t="n">
        <v>0</v>
      </c>
      <c r="O191" t="n">
        <v>0</v>
      </c>
      <c r="P191" t="n">
        <v>0</v>
      </c>
      <c r="Q191" t="n">
        <v>2</v>
      </c>
      <c r="R191" s="2" t="inlineStr">
        <is>
          <t>Järnsparv
Kungsfågel</t>
        </is>
      </c>
      <c r="S191">
        <f>HYPERLINK("https://klasma.github.io/Logging_1880/artfynd/A 13395-2024 artfynd.xlsx", "A 13395-2024")</f>
        <v/>
      </c>
      <c r="T191">
        <f>HYPERLINK("https://klasma.github.io/Logging_1880/kartor/A 13395-2024 karta.png", "A 13395-2024")</f>
        <v/>
      </c>
      <c r="V191">
        <f>HYPERLINK("https://klasma.github.io/Logging_1880/klagomål/A 13395-2024 FSC-klagomål.docx", "A 13395-2024")</f>
        <v/>
      </c>
      <c r="W191">
        <f>HYPERLINK("https://klasma.github.io/Logging_1880/klagomålsmail/A 13395-2024 FSC-klagomål mail.docx", "A 13395-2024")</f>
        <v/>
      </c>
      <c r="X191">
        <f>HYPERLINK("https://klasma.github.io/Logging_1880/tillsyn/A 13395-2024 tillsynsbegäran.docx", "A 13395-2024")</f>
        <v/>
      </c>
      <c r="Y191">
        <f>HYPERLINK("https://klasma.github.io/Logging_1880/tillsynsmail/A 13395-2024 tillsynsbegäran mail.docx", "A 13395-2024")</f>
        <v/>
      </c>
      <c r="Z191">
        <f>HYPERLINK("https://klasma.github.io/Logging_1880/fåglar/A 13395-2024 prioriterade fågelarter.docx", "A 13395-2024")</f>
        <v/>
      </c>
    </row>
    <row r="192" ht="15" customHeight="1">
      <c r="A192" t="inlineStr">
        <is>
          <t>A 61096-2023</t>
        </is>
      </c>
      <c r="B192" s="1" t="n">
        <v>45261</v>
      </c>
      <c r="C192" s="1" t="n">
        <v>45952</v>
      </c>
      <c r="D192" t="inlineStr">
        <is>
          <t>ÖREBRO LÄN</t>
        </is>
      </c>
      <c r="E192" t="inlineStr">
        <is>
          <t>LAXÅ</t>
        </is>
      </c>
      <c r="F192" t="inlineStr">
        <is>
          <t>Sveaskog</t>
        </is>
      </c>
      <c r="G192" t="n">
        <v>4.5</v>
      </c>
      <c r="H192" t="n">
        <v>1</v>
      </c>
      <c r="I192" t="n">
        <v>1</v>
      </c>
      <c r="J192" t="n">
        <v>1</v>
      </c>
      <c r="K192" t="n">
        <v>0</v>
      </c>
      <c r="L192" t="n">
        <v>0</v>
      </c>
      <c r="M192" t="n">
        <v>0</v>
      </c>
      <c r="N192" t="n">
        <v>0</v>
      </c>
      <c r="O192" t="n">
        <v>1</v>
      </c>
      <c r="P192" t="n">
        <v>0</v>
      </c>
      <c r="Q192" t="n">
        <v>2</v>
      </c>
      <c r="R192" s="2" t="inlineStr">
        <is>
          <t>Entita
Björksplintborre</t>
        </is>
      </c>
      <c r="S192">
        <f>HYPERLINK("https://klasma.github.io/Logging_1860/artfynd/A 61096-2023 artfynd.xlsx", "A 61096-2023")</f>
        <v/>
      </c>
      <c r="T192">
        <f>HYPERLINK("https://klasma.github.io/Logging_1860/kartor/A 61096-2023 karta.png", "A 61096-2023")</f>
        <v/>
      </c>
      <c r="V192">
        <f>HYPERLINK("https://klasma.github.io/Logging_1860/klagomål/A 61096-2023 FSC-klagomål.docx", "A 61096-2023")</f>
        <v/>
      </c>
      <c r="W192">
        <f>HYPERLINK("https://klasma.github.io/Logging_1860/klagomålsmail/A 61096-2023 FSC-klagomål mail.docx", "A 61096-2023")</f>
        <v/>
      </c>
      <c r="X192">
        <f>HYPERLINK("https://klasma.github.io/Logging_1860/tillsyn/A 61096-2023 tillsynsbegäran.docx", "A 61096-2023")</f>
        <v/>
      </c>
      <c r="Y192">
        <f>HYPERLINK("https://klasma.github.io/Logging_1860/tillsynsmail/A 61096-2023 tillsynsbegäran mail.docx", "A 61096-2023")</f>
        <v/>
      </c>
      <c r="Z192">
        <f>HYPERLINK("https://klasma.github.io/Logging_1860/fåglar/A 61096-2023 prioriterade fågelarter.docx", "A 61096-2023")</f>
        <v/>
      </c>
    </row>
    <row r="193" ht="15" customHeight="1">
      <c r="A193" t="inlineStr">
        <is>
          <t>A 34050-2025</t>
        </is>
      </c>
      <c r="B193" s="1" t="n">
        <v>45845.40576388889</v>
      </c>
      <c r="C193" s="1" t="n">
        <v>45952</v>
      </c>
      <c r="D193" t="inlineStr">
        <is>
          <t>ÖREBRO LÄN</t>
        </is>
      </c>
      <c r="E193" t="inlineStr">
        <is>
          <t>HÄLLEFORS</t>
        </is>
      </c>
      <c r="F193" t="inlineStr">
        <is>
          <t>Bergvik skog väst AB</t>
        </is>
      </c>
      <c r="G193" t="n">
        <v>13.5</v>
      </c>
      <c r="H193" t="n">
        <v>1</v>
      </c>
      <c r="I193" t="n">
        <v>1</v>
      </c>
      <c r="J193" t="n">
        <v>0</v>
      </c>
      <c r="K193" t="n">
        <v>0</v>
      </c>
      <c r="L193" t="n">
        <v>0</v>
      </c>
      <c r="M193" t="n">
        <v>1</v>
      </c>
      <c r="N193" t="n">
        <v>0</v>
      </c>
      <c r="O193" t="n">
        <v>1</v>
      </c>
      <c r="P193" t="n">
        <v>1</v>
      </c>
      <c r="Q193" t="n">
        <v>2</v>
      </c>
      <c r="R193" s="2" t="inlineStr">
        <is>
          <t>Flodkräfta
Tvåblad</t>
        </is>
      </c>
      <c r="S193">
        <f>HYPERLINK("https://klasma.github.io/Logging_1863/artfynd/A 34050-2025 artfynd.xlsx", "A 34050-2025")</f>
        <v/>
      </c>
      <c r="T193">
        <f>HYPERLINK("https://klasma.github.io/Logging_1863/kartor/A 34050-2025 karta.png", "A 34050-2025")</f>
        <v/>
      </c>
      <c r="V193">
        <f>HYPERLINK("https://klasma.github.io/Logging_1863/klagomål/A 34050-2025 FSC-klagomål.docx", "A 34050-2025")</f>
        <v/>
      </c>
      <c r="W193">
        <f>HYPERLINK("https://klasma.github.io/Logging_1863/klagomålsmail/A 34050-2025 FSC-klagomål mail.docx", "A 34050-2025")</f>
        <v/>
      </c>
      <c r="X193">
        <f>HYPERLINK("https://klasma.github.io/Logging_1863/tillsyn/A 34050-2025 tillsynsbegäran.docx", "A 34050-2025")</f>
        <v/>
      </c>
      <c r="Y193">
        <f>HYPERLINK("https://klasma.github.io/Logging_1863/tillsynsmail/A 34050-2025 tillsynsbegäran mail.docx", "A 34050-2025")</f>
        <v/>
      </c>
    </row>
    <row r="194" ht="15" customHeight="1">
      <c r="A194" t="inlineStr">
        <is>
          <t>A 23750-2022</t>
        </is>
      </c>
      <c r="B194" s="1" t="n">
        <v>44722</v>
      </c>
      <c r="C194" s="1" t="n">
        <v>45952</v>
      </c>
      <c r="D194" t="inlineStr">
        <is>
          <t>ÖREBRO LÄN</t>
        </is>
      </c>
      <c r="E194" t="inlineStr">
        <is>
          <t>ASKERSUND</t>
        </is>
      </c>
      <c r="F194" t="inlineStr">
        <is>
          <t>Sveaskog</t>
        </is>
      </c>
      <c r="G194" t="n">
        <v>4.3</v>
      </c>
      <c r="H194" t="n">
        <v>2</v>
      </c>
      <c r="I194" t="n">
        <v>0</v>
      </c>
      <c r="J194" t="n">
        <v>0</v>
      </c>
      <c r="K194" t="n">
        <v>0</v>
      </c>
      <c r="L194" t="n">
        <v>0</v>
      </c>
      <c r="M194" t="n">
        <v>0</v>
      </c>
      <c r="N194" t="n">
        <v>0</v>
      </c>
      <c r="O194" t="n">
        <v>0</v>
      </c>
      <c r="P194" t="n">
        <v>0</v>
      </c>
      <c r="Q194" t="n">
        <v>2</v>
      </c>
      <c r="R194" s="2" t="inlineStr">
        <is>
          <t>Blåsippa
Revlummer</t>
        </is>
      </c>
      <c r="S194">
        <f>HYPERLINK("https://klasma.github.io/Logging_1882/artfynd/A 23750-2022 artfynd.xlsx", "A 23750-2022")</f>
        <v/>
      </c>
      <c r="T194">
        <f>HYPERLINK("https://klasma.github.io/Logging_1882/kartor/A 23750-2022 karta.png", "A 23750-2022")</f>
        <v/>
      </c>
      <c r="V194">
        <f>HYPERLINK("https://klasma.github.io/Logging_1882/klagomål/A 23750-2022 FSC-klagomål.docx", "A 23750-2022")</f>
        <v/>
      </c>
      <c r="W194">
        <f>HYPERLINK("https://klasma.github.io/Logging_1882/klagomålsmail/A 23750-2022 FSC-klagomål mail.docx", "A 23750-2022")</f>
        <v/>
      </c>
      <c r="X194">
        <f>HYPERLINK("https://klasma.github.io/Logging_1882/tillsyn/A 23750-2022 tillsynsbegäran.docx", "A 23750-2022")</f>
        <v/>
      </c>
      <c r="Y194">
        <f>HYPERLINK("https://klasma.github.io/Logging_1882/tillsynsmail/A 23750-2022 tillsynsbegäran mail.docx", "A 23750-2022")</f>
        <v/>
      </c>
    </row>
    <row r="195" ht="15" customHeight="1">
      <c r="A195" t="inlineStr">
        <is>
          <t>A 35099-2025</t>
        </is>
      </c>
      <c r="B195" s="1" t="n">
        <v>45852.5584375</v>
      </c>
      <c r="C195" s="1" t="n">
        <v>45952</v>
      </c>
      <c r="D195" t="inlineStr">
        <is>
          <t>ÖREBRO LÄN</t>
        </is>
      </c>
      <c r="E195" t="inlineStr">
        <is>
          <t>LEKEBERG</t>
        </is>
      </c>
      <c r="F195" t="inlineStr">
        <is>
          <t>Allmännings- och besparingsskogar</t>
        </is>
      </c>
      <c r="G195" t="n">
        <v>16.5</v>
      </c>
      <c r="H195" t="n">
        <v>2</v>
      </c>
      <c r="I195" t="n">
        <v>0</v>
      </c>
      <c r="J195" t="n">
        <v>1</v>
      </c>
      <c r="K195" t="n">
        <v>0</v>
      </c>
      <c r="L195" t="n">
        <v>0</v>
      </c>
      <c r="M195" t="n">
        <v>0</v>
      </c>
      <c r="N195" t="n">
        <v>0</v>
      </c>
      <c r="O195" t="n">
        <v>1</v>
      </c>
      <c r="P195" t="n">
        <v>0</v>
      </c>
      <c r="Q195" t="n">
        <v>2</v>
      </c>
      <c r="R195" s="2" t="inlineStr">
        <is>
          <t>Spillkråka
Kungsfågel</t>
        </is>
      </c>
      <c r="S195">
        <f>HYPERLINK("https://klasma.github.io/Logging_1814/artfynd/A 35099-2025 artfynd.xlsx", "A 35099-2025")</f>
        <v/>
      </c>
      <c r="T195">
        <f>HYPERLINK("https://klasma.github.io/Logging_1814/kartor/A 35099-2025 karta.png", "A 35099-2025")</f>
        <v/>
      </c>
      <c r="V195">
        <f>HYPERLINK("https://klasma.github.io/Logging_1814/klagomål/A 35099-2025 FSC-klagomål.docx", "A 35099-2025")</f>
        <v/>
      </c>
      <c r="W195">
        <f>HYPERLINK("https://klasma.github.io/Logging_1814/klagomålsmail/A 35099-2025 FSC-klagomål mail.docx", "A 35099-2025")</f>
        <v/>
      </c>
      <c r="X195">
        <f>HYPERLINK("https://klasma.github.io/Logging_1814/tillsyn/A 35099-2025 tillsynsbegäran.docx", "A 35099-2025")</f>
        <v/>
      </c>
      <c r="Y195">
        <f>HYPERLINK("https://klasma.github.io/Logging_1814/tillsynsmail/A 35099-2025 tillsynsbegäran mail.docx", "A 35099-2025")</f>
        <v/>
      </c>
      <c r="Z195">
        <f>HYPERLINK("https://klasma.github.io/Logging_1814/fåglar/A 35099-2025 prioriterade fågelarter.docx", "A 35099-2025")</f>
        <v/>
      </c>
    </row>
    <row r="196" ht="15" customHeight="1">
      <c r="A196" t="inlineStr">
        <is>
          <t>A 31967-2023</t>
        </is>
      </c>
      <c r="B196" s="1" t="n">
        <v>45107</v>
      </c>
      <c r="C196" s="1" t="n">
        <v>45952</v>
      </c>
      <c r="D196" t="inlineStr">
        <is>
          <t>ÖREBRO LÄN</t>
        </is>
      </c>
      <c r="E196" t="inlineStr">
        <is>
          <t>ASKERSUND</t>
        </is>
      </c>
      <c r="G196" t="n">
        <v>1.2</v>
      </c>
      <c r="H196" t="n">
        <v>0</v>
      </c>
      <c r="I196" t="n">
        <v>2</v>
      </c>
      <c r="J196" t="n">
        <v>0</v>
      </c>
      <c r="K196" t="n">
        <v>0</v>
      </c>
      <c r="L196" t="n">
        <v>0</v>
      </c>
      <c r="M196" t="n">
        <v>0</v>
      </c>
      <c r="N196" t="n">
        <v>0</v>
      </c>
      <c r="O196" t="n">
        <v>0</v>
      </c>
      <c r="P196" t="n">
        <v>0</v>
      </c>
      <c r="Q196" t="n">
        <v>2</v>
      </c>
      <c r="R196" s="2" t="inlineStr">
        <is>
          <t>Blåsfliksmossa
Trubbfjädermossa</t>
        </is>
      </c>
      <c r="S196">
        <f>HYPERLINK("https://klasma.github.io/Logging_1882/artfynd/A 31967-2023 artfynd.xlsx", "A 31967-2023")</f>
        <v/>
      </c>
      <c r="T196">
        <f>HYPERLINK("https://klasma.github.io/Logging_1882/kartor/A 31967-2023 karta.png", "A 31967-2023")</f>
        <v/>
      </c>
      <c r="V196">
        <f>HYPERLINK("https://klasma.github.io/Logging_1882/klagomål/A 31967-2023 FSC-klagomål.docx", "A 31967-2023")</f>
        <v/>
      </c>
      <c r="W196">
        <f>HYPERLINK("https://klasma.github.io/Logging_1882/klagomålsmail/A 31967-2023 FSC-klagomål mail.docx", "A 31967-2023")</f>
        <v/>
      </c>
      <c r="X196">
        <f>HYPERLINK("https://klasma.github.io/Logging_1882/tillsyn/A 31967-2023 tillsynsbegäran.docx", "A 31967-2023")</f>
        <v/>
      </c>
      <c r="Y196">
        <f>HYPERLINK("https://klasma.github.io/Logging_1882/tillsynsmail/A 31967-2023 tillsynsbegäran mail.docx", "A 31967-2023")</f>
        <v/>
      </c>
    </row>
    <row r="197" ht="15" customHeight="1">
      <c r="A197" t="inlineStr">
        <is>
          <t>A 36081-2025</t>
        </is>
      </c>
      <c r="B197" s="1" t="n">
        <v>45866</v>
      </c>
      <c r="C197" s="1" t="n">
        <v>45952</v>
      </c>
      <c r="D197" t="inlineStr">
        <is>
          <t>ÖREBRO LÄN</t>
        </is>
      </c>
      <c r="E197" t="inlineStr">
        <is>
          <t>DEGERFORS</t>
        </is>
      </c>
      <c r="F197" t="inlineStr">
        <is>
          <t>Sveaskog</t>
        </is>
      </c>
      <c r="G197" t="n">
        <v>1.5</v>
      </c>
      <c r="H197" t="n">
        <v>0</v>
      </c>
      <c r="I197" t="n">
        <v>0</v>
      </c>
      <c r="J197" t="n">
        <v>2</v>
      </c>
      <c r="K197" t="n">
        <v>0</v>
      </c>
      <c r="L197" t="n">
        <v>0</v>
      </c>
      <c r="M197" t="n">
        <v>0</v>
      </c>
      <c r="N197" t="n">
        <v>0</v>
      </c>
      <c r="O197" t="n">
        <v>2</v>
      </c>
      <c r="P197" t="n">
        <v>0</v>
      </c>
      <c r="Q197" t="n">
        <v>2</v>
      </c>
      <c r="R197" s="2" t="inlineStr">
        <is>
          <t>Skogsklocka
Svinrot</t>
        </is>
      </c>
      <c r="S197">
        <f>HYPERLINK("https://klasma.github.io/Logging_1862/artfynd/A 36081-2025 artfynd.xlsx", "A 36081-2025")</f>
        <v/>
      </c>
      <c r="T197">
        <f>HYPERLINK("https://klasma.github.io/Logging_1862/kartor/A 36081-2025 karta.png", "A 36081-2025")</f>
        <v/>
      </c>
      <c r="V197">
        <f>HYPERLINK("https://klasma.github.io/Logging_1862/klagomål/A 36081-2025 FSC-klagomål.docx", "A 36081-2025")</f>
        <v/>
      </c>
      <c r="W197">
        <f>HYPERLINK("https://klasma.github.io/Logging_1862/klagomålsmail/A 36081-2025 FSC-klagomål mail.docx", "A 36081-2025")</f>
        <v/>
      </c>
      <c r="X197">
        <f>HYPERLINK("https://klasma.github.io/Logging_1862/tillsyn/A 36081-2025 tillsynsbegäran.docx", "A 36081-2025")</f>
        <v/>
      </c>
      <c r="Y197">
        <f>HYPERLINK("https://klasma.github.io/Logging_1862/tillsynsmail/A 36081-2025 tillsynsbegäran mail.docx", "A 36081-2025")</f>
        <v/>
      </c>
    </row>
    <row r="198" ht="15" customHeight="1">
      <c r="A198" t="inlineStr">
        <is>
          <t>A 44402-2025</t>
        </is>
      </c>
      <c r="B198" s="1" t="n">
        <v>45916.51012731482</v>
      </c>
      <c r="C198" s="1" t="n">
        <v>45952</v>
      </c>
      <c r="D198" t="inlineStr">
        <is>
          <t>ÖREBRO LÄN</t>
        </is>
      </c>
      <c r="E198" t="inlineStr">
        <is>
          <t>HÄLLEFORS</t>
        </is>
      </c>
      <c r="F198" t="inlineStr">
        <is>
          <t>Bergvik skog väst AB</t>
        </is>
      </c>
      <c r="G198" t="n">
        <v>1.8</v>
      </c>
      <c r="H198" t="n">
        <v>0</v>
      </c>
      <c r="I198" t="n">
        <v>1</v>
      </c>
      <c r="J198" t="n">
        <v>1</v>
      </c>
      <c r="K198" t="n">
        <v>0</v>
      </c>
      <c r="L198" t="n">
        <v>0</v>
      </c>
      <c r="M198" t="n">
        <v>0</v>
      </c>
      <c r="N198" t="n">
        <v>0</v>
      </c>
      <c r="O198" t="n">
        <v>1</v>
      </c>
      <c r="P198" t="n">
        <v>0</v>
      </c>
      <c r="Q198" t="n">
        <v>2</v>
      </c>
      <c r="R198" s="2" t="inlineStr">
        <is>
          <t>Garnlav
Vedticka</t>
        </is>
      </c>
      <c r="S198">
        <f>HYPERLINK("https://klasma.github.io/Logging_1863/artfynd/A 44402-2025 artfynd.xlsx", "A 44402-2025")</f>
        <v/>
      </c>
      <c r="T198">
        <f>HYPERLINK("https://klasma.github.io/Logging_1863/kartor/A 44402-2025 karta.png", "A 44402-2025")</f>
        <v/>
      </c>
      <c r="V198">
        <f>HYPERLINK("https://klasma.github.io/Logging_1863/klagomål/A 44402-2025 FSC-klagomål.docx", "A 44402-2025")</f>
        <v/>
      </c>
      <c r="W198">
        <f>HYPERLINK("https://klasma.github.io/Logging_1863/klagomålsmail/A 44402-2025 FSC-klagomål mail.docx", "A 44402-2025")</f>
        <v/>
      </c>
      <c r="X198">
        <f>HYPERLINK("https://klasma.github.io/Logging_1863/tillsyn/A 44402-2025 tillsynsbegäran.docx", "A 44402-2025")</f>
        <v/>
      </c>
      <c r="Y198">
        <f>HYPERLINK("https://klasma.github.io/Logging_1863/tillsynsmail/A 44402-2025 tillsynsbegäran mail.docx", "A 44402-2025")</f>
        <v/>
      </c>
    </row>
    <row r="199" ht="15" customHeight="1">
      <c r="A199" t="inlineStr">
        <is>
          <t>A 8063-2024</t>
        </is>
      </c>
      <c r="B199" s="1" t="n">
        <v>45351</v>
      </c>
      <c r="C199" s="1" t="n">
        <v>45952</v>
      </c>
      <c r="D199" t="inlineStr">
        <is>
          <t>ÖREBRO LÄN</t>
        </is>
      </c>
      <c r="E199" t="inlineStr">
        <is>
          <t>DEGERFORS</t>
        </is>
      </c>
      <c r="F199" t="inlineStr">
        <is>
          <t>Sveaskog</t>
        </is>
      </c>
      <c r="G199" t="n">
        <v>1.5</v>
      </c>
      <c r="H199" t="n">
        <v>0</v>
      </c>
      <c r="I199" t="n">
        <v>0</v>
      </c>
      <c r="J199" t="n">
        <v>2</v>
      </c>
      <c r="K199" t="n">
        <v>0</v>
      </c>
      <c r="L199" t="n">
        <v>0</v>
      </c>
      <c r="M199" t="n">
        <v>0</v>
      </c>
      <c r="N199" t="n">
        <v>0</v>
      </c>
      <c r="O199" t="n">
        <v>2</v>
      </c>
      <c r="P199" t="n">
        <v>0</v>
      </c>
      <c r="Q199" t="n">
        <v>2</v>
      </c>
      <c r="R199" s="2" t="inlineStr">
        <is>
          <t>Skogsklocka
Svinrot</t>
        </is>
      </c>
      <c r="S199">
        <f>HYPERLINK("https://klasma.github.io/Logging_1862/artfynd/A 8063-2024 artfynd.xlsx", "A 8063-2024")</f>
        <v/>
      </c>
      <c r="T199">
        <f>HYPERLINK("https://klasma.github.io/Logging_1862/kartor/A 8063-2024 karta.png", "A 8063-2024")</f>
        <v/>
      </c>
      <c r="V199">
        <f>HYPERLINK("https://klasma.github.io/Logging_1862/klagomål/A 8063-2024 FSC-klagomål.docx", "A 8063-2024")</f>
        <v/>
      </c>
      <c r="W199">
        <f>HYPERLINK("https://klasma.github.io/Logging_1862/klagomålsmail/A 8063-2024 FSC-klagomål mail.docx", "A 8063-2024")</f>
        <v/>
      </c>
      <c r="X199">
        <f>HYPERLINK("https://klasma.github.io/Logging_1862/tillsyn/A 8063-2024 tillsynsbegäran.docx", "A 8063-2024")</f>
        <v/>
      </c>
      <c r="Y199">
        <f>HYPERLINK("https://klasma.github.io/Logging_1862/tillsynsmail/A 8063-2024 tillsynsbegäran mail.docx", "A 8063-2024")</f>
        <v/>
      </c>
    </row>
    <row r="200" ht="15" customHeight="1">
      <c r="A200" t="inlineStr">
        <is>
          <t>A 61334-2020</t>
        </is>
      </c>
      <c r="B200" s="1" t="n">
        <v>44155</v>
      </c>
      <c r="C200" s="1" t="n">
        <v>45952</v>
      </c>
      <c r="D200" t="inlineStr">
        <is>
          <t>ÖREBRO LÄN</t>
        </is>
      </c>
      <c r="E200" t="inlineStr">
        <is>
          <t>KARLSKOGA</t>
        </is>
      </c>
      <c r="F200" t="inlineStr">
        <is>
          <t>Sveaskog</t>
        </is>
      </c>
      <c r="G200" t="n">
        <v>1.7</v>
      </c>
      <c r="H200" t="n">
        <v>0</v>
      </c>
      <c r="I200" t="n">
        <v>0</v>
      </c>
      <c r="J200" t="n">
        <v>1</v>
      </c>
      <c r="K200" t="n">
        <v>0</v>
      </c>
      <c r="L200" t="n">
        <v>1</v>
      </c>
      <c r="M200" t="n">
        <v>0</v>
      </c>
      <c r="N200" t="n">
        <v>0</v>
      </c>
      <c r="O200" t="n">
        <v>2</v>
      </c>
      <c r="P200" t="n">
        <v>1</v>
      </c>
      <c r="Q200" t="n">
        <v>2</v>
      </c>
      <c r="R200" s="2" t="inlineStr">
        <is>
          <t>Sälgbrokmal
Skogsklocka</t>
        </is>
      </c>
      <c r="S200">
        <f>HYPERLINK("https://klasma.github.io/Logging_1883/artfynd/A 61334-2020 artfynd.xlsx", "A 61334-2020")</f>
        <v/>
      </c>
      <c r="T200">
        <f>HYPERLINK("https://klasma.github.io/Logging_1883/kartor/A 61334-2020 karta.png", "A 61334-2020")</f>
        <v/>
      </c>
      <c r="V200">
        <f>HYPERLINK("https://klasma.github.io/Logging_1883/klagomål/A 61334-2020 FSC-klagomål.docx", "A 61334-2020")</f>
        <v/>
      </c>
      <c r="W200">
        <f>HYPERLINK("https://klasma.github.io/Logging_1883/klagomålsmail/A 61334-2020 FSC-klagomål mail.docx", "A 61334-2020")</f>
        <v/>
      </c>
      <c r="X200">
        <f>HYPERLINK("https://klasma.github.io/Logging_1883/tillsyn/A 61334-2020 tillsynsbegäran.docx", "A 61334-2020")</f>
        <v/>
      </c>
      <c r="Y200">
        <f>HYPERLINK("https://klasma.github.io/Logging_1883/tillsynsmail/A 61334-2020 tillsynsbegäran mail.docx", "A 61334-2020")</f>
        <v/>
      </c>
    </row>
    <row r="201" ht="15" customHeight="1">
      <c r="A201" t="inlineStr">
        <is>
          <t>A 44397-2025</t>
        </is>
      </c>
      <c r="B201" s="1" t="n">
        <v>45916.50061342592</v>
      </c>
      <c r="C201" s="1" t="n">
        <v>45952</v>
      </c>
      <c r="D201" t="inlineStr">
        <is>
          <t>ÖREBRO LÄN</t>
        </is>
      </c>
      <c r="E201" t="inlineStr">
        <is>
          <t>HÄLLEFORS</t>
        </is>
      </c>
      <c r="F201" t="inlineStr">
        <is>
          <t>Bergvik skog väst AB</t>
        </is>
      </c>
      <c r="G201" t="n">
        <v>6.5</v>
      </c>
      <c r="H201" t="n">
        <v>1</v>
      </c>
      <c r="I201" t="n">
        <v>1</v>
      </c>
      <c r="J201" t="n">
        <v>1</v>
      </c>
      <c r="K201" t="n">
        <v>0</v>
      </c>
      <c r="L201" t="n">
        <v>0</v>
      </c>
      <c r="M201" t="n">
        <v>0</v>
      </c>
      <c r="N201" t="n">
        <v>0</v>
      </c>
      <c r="O201" t="n">
        <v>1</v>
      </c>
      <c r="P201" t="n">
        <v>0</v>
      </c>
      <c r="Q201" t="n">
        <v>2</v>
      </c>
      <c r="R201" s="2" t="inlineStr">
        <is>
          <t>Ullticka
Grön sköldmossa</t>
        </is>
      </c>
      <c r="S201">
        <f>HYPERLINK("https://klasma.github.io/Logging_1863/artfynd/A 44397-2025 artfynd.xlsx", "A 44397-2025")</f>
        <v/>
      </c>
      <c r="T201">
        <f>HYPERLINK("https://klasma.github.io/Logging_1863/kartor/A 44397-2025 karta.png", "A 44397-2025")</f>
        <v/>
      </c>
      <c r="V201">
        <f>HYPERLINK("https://klasma.github.io/Logging_1863/klagomål/A 44397-2025 FSC-klagomål.docx", "A 44397-2025")</f>
        <v/>
      </c>
      <c r="W201">
        <f>HYPERLINK("https://klasma.github.io/Logging_1863/klagomålsmail/A 44397-2025 FSC-klagomål mail.docx", "A 44397-2025")</f>
        <v/>
      </c>
      <c r="X201">
        <f>HYPERLINK("https://klasma.github.io/Logging_1863/tillsyn/A 44397-2025 tillsynsbegäran.docx", "A 44397-2025")</f>
        <v/>
      </c>
      <c r="Y201">
        <f>HYPERLINK("https://klasma.github.io/Logging_1863/tillsynsmail/A 44397-2025 tillsynsbegäran mail.docx", "A 44397-2025")</f>
        <v/>
      </c>
    </row>
    <row r="202" ht="15" customHeight="1">
      <c r="A202" t="inlineStr">
        <is>
          <t>A 13458-2024</t>
        </is>
      </c>
      <c r="B202" s="1" t="n">
        <v>45387.54642361111</v>
      </c>
      <c r="C202" s="1" t="n">
        <v>45952</v>
      </c>
      <c r="D202" t="inlineStr">
        <is>
          <t>ÖREBRO LÄN</t>
        </is>
      </c>
      <c r="E202" t="inlineStr">
        <is>
          <t>ÖREBRO</t>
        </is>
      </c>
      <c r="G202" t="n">
        <v>1.8</v>
      </c>
      <c r="H202" t="n">
        <v>2</v>
      </c>
      <c r="I202" t="n">
        <v>0</v>
      </c>
      <c r="J202" t="n">
        <v>1</v>
      </c>
      <c r="K202" t="n">
        <v>0</v>
      </c>
      <c r="L202" t="n">
        <v>0</v>
      </c>
      <c r="M202" t="n">
        <v>0</v>
      </c>
      <c r="N202" t="n">
        <v>0</v>
      </c>
      <c r="O202" t="n">
        <v>1</v>
      </c>
      <c r="P202" t="n">
        <v>0</v>
      </c>
      <c r="Q202" t="n">
        <v>2</v>
      </c>
      <c r="R202" s="2" t="inlineStr">
        <is>
          <t>Havsörn
Göktyta</t>
        </is>
      </c>
      <c r="S202">
        <f>HYPERLINK("https://klasma.github.io/Logging_1880/artfynd/A 13458-2024 artfynd.xlsx", "A 13458-2024")</f>
        <v/>
      </c>
      <c r="T202">
        <f>HYPERLINK("https://klasma.github.io/Logging_1880/kartor/A 13458-2024 karta.png", "A 13458-2024")</f>
        <v/>
      </c>
      <c r="V202">
        <f>HYPERLINK("https://klasma.github.io/Logging_1880/klagomål/A 13458-2024 FSC-klagomål.docx", "A 13458-2024")</f>
        <v/>
      </c>
      <c r="W202">
        <f>HYPERLINK("https://klasma.github.io/Logging_1880/klagomålsmail/A 13458-2024 FSC-klagomål mail.docx", "A 13458-2024")</f>
        <v/>
      </c>
      <c r="X202">
        <f>HYPERLINK("https://klasma.github.io/Logging_1880/tillsyn/A 13458-2024 tillsynsbegäran.docx", "A 13458-2024")</f>
        <v/>
      </c>
      <c r="Y202">
        <f>HYPERLINK("https://klasma.github.io/Logging_1880/tillsynsmail/A 13458-2024 tillsynsbegäran mail.docx", "A 13458-2024")</f>
        <v/>
      </c>
      <c r="Z202">
        <f>HYPERLINK("https://klasma.github.io/Logging_1880/fåglar/A 13458-2024 prioriterade fågelarter.docx", "A 13458-2024")</f>
        <v/>
      </c>
    </row>
    <row r="203" ht="15" customHeight="1">
      <c r="A203" t="inlineStr">
        <is>
          <t>A 53729-2024</t>
        </is>
      </c>
      <c r="B203" s="1" t="n">
        <v>45614</v>
      </c>
      <c r="C203" s="1" t="n">
        <v>45952</v>
      </c>
      <c r="D203" t="inlineStr">
        <is>
          <t>ÖREBRO LÄN</t>
        </is>
      </c>
      <c r="E203" t="inlineStr">
        <is>
          <t>LJUSNARSBERG</t>
        </is>
      </c>
      <c r="G203" t="n">
        <v>14</v>
      </c>
      <c r="H203" t="n">
        <v>0</v>
      </c>
      <c r="I203" t="n">
        <v>1</v>
      </c>
      <c r="J203" t="n">
        <v>0</v>
      </c>
      <c r="K203" t="n">
        <v>1</v>
      </c>
      <c r="L203" t="n">
        <v>0</v>
      </c>
      <c r="M203" t="n">
        <v>0</v>
      </c>
      <c r="N203" t="n">
        <v>0</v>
      </c>
      <c r="O203" t="n">
        <v>1</v>
      </c>
      <c r="P203" t="n">
        <v>1</v>
      </c>
      <c r="Q203" t="n">
        <v>2</v>
      </c>
      <c r="R203" s="2" t="inlineStr">
        <is>
          <t>Aspfjädermossa
Smal svampklubba</t>
        </is>
      </c>
      <c r="S203">
        <f>HYPERLINK("https://klasma.github.io/Logging_1864/artfynd/A 53729-2024 artfynd.xlsx", "A 53729-2024")</f>
        <v/>
      </c>
      <c r="T203">
        <f>HYPERLINK("https://klasma.github.io/Logging_1864/kartor/A 53729-2024 karta.png", "A 53729-2024")</f>
        <v/>
      </c>
      <c r="V203">
        <f>HYPERLINK("https://klasma.github.io/Logging_1864/klagomål/A 53729-2024 FSC-klagomål.docx", "A 53729-2024")</f>
        <v/>
      </c>
      <c r="W203">
        <f>HYPERLINK("https://klasma.github.io/Logging_1864/klagomålsmail/A 53729-2024 FSC-klagomål mail.docx", "A 53729-2024")</f>
        <v/>
      </c>
      <c r="X203">
        <f>HYPERLINK("https://klasma.github.io/Logging_1864/tillsyn/A 53729-2024 tillsynsbegäran.docx", "A 53729-2024")</f>
        <v/>
      </c>
      <c r="Y203">
        <f>HYPERLINK("https://klasma.github.io/Logging_1864/tillsynsmail/A 53729-2024 tillsynsbegäran mail.docx", "A 53729-2024")</f>
        <v/>
      </c>
    </row>
    <row r="204" ht="15" customHeight="1">
      <c r="A204" t="inlineStr">
        <is>
          <t>A 25397-2024</t>
        </is>
      </c>
      <c r="B204" s="1" t="n">
        <v>45463.32967592592</v>
      </c>
      <c r="C204" s="1" t="n">
        <v>45952</v>
      </c>
      <c r="D204" t="inlineStr">
        <is>
          <t>ÖREBRO LÄN</t>
        </is>
      </c>
      <c r="E204" t="inlineStr">
        <is>
          <t>LAXÅ</t>
        </is>
      </c>
      <c r="F204" t="inlineStr">
        <is>
          <t>Övriga statliga verk och myndigheter</t>
        </is>
      </c>
      <c r="G204" t="n">
        <v>1.1</v>
      </c>
      <c r="H204" t="n">
        <v>2</v>
      </c>
      <c r="I204" t="n">
        <v>0</v>
      </c>
      <c r="J204" t="n">
        <v>2</v>
      </c>
      <c r="K204" t="n">
        <v>0</v>
      </c>
      <c r="L204" t="n">
        <v>0</v>
      </c>
      <c r="M204" t="n">
        <v>0</v>
      </c>
      <c r="N204" t="n">
        <v>0</v>
      </c>
      <c r="O204" t="n">
        <v>2</v>
      </c>
      <c r="P204" t="n">
        <v>0</v>
      </c>
      <c r="Q204" t="n">
        <v>2</v>
      </c>
      <c r="R204" s="2" t="inlineStr">
        <is>
          <t>Spillkråka
Tretåig hackspett</t>
        </is>
      </c>
      <c r="S204">
        <f>HYPERLINK("https://klasma.github.io/Logging_1860/artfynd/A 25397-2024 artfynd.xlsx", "A 25397-2024")</f>
        <v/>
      </c>
      <c r="T204">
        <f>HYPERLINK("https://klasma.github.io/Logging_1860/kartor/A 25397-2024 karta.png", "A 25397-2024")</f>
        <v/>
      </c>
      <c r="V204">
        <f>HYPERLINK("https://klasma.github.io/Logging_1860/klagomål/A 25397-2024 FSC-klagomål.docx", "A 25397-2024")</f>
        <v/>
      </c>
      <c r="W204">
        <f>HYPERLINK("https://klasma.github.io/Logging_1860/klagomålsmail/A 25397-2024 FSC-klagomål mail.docx", "A 25397-2024")</f>
        <v/>
      </c>
      <c r="X204">
        <f>HYPERLINK("https://klasma.github.io/Logging_1860/tillsyn/A 25397-2024 tillsynsbegäran.docx", "A 25397-2024")</f>
        <v/>
      </c>
      <c r="Y204">
        <f>HYPERLINK("https://klasma.github.io/Logging_1860/tillsynsmail/A 25397-2024 tillsynsbegäran mail.docx", "A 25397-2024")</f>
        <v/>
      </c>
      <c r="Z204">
        <f>HYPERLINK("https://klasma.github.io/Logging_1860/fåglar/A 25397-2024 prioriterade fågelarter.docx", "A 25397-2024")</f>
        <v/>
      </c>
    </row>
    <row r="205" ht="15" customHeight="1">
      <c r="A205" t="inlineStr">
        <is>
          <t>A 31483-2021</t>
        </is>
      </c>
      <c r="B205" s="1" t="n">
        <v>44369</v>
      </c>
      <c r="C205" s="1" t="n">
        <v>45952</v>
      </c>
      <c r="D205" t="inlineStr">
        <is>
          <t>ÖREBRO LÄN</t>
        </is>
      </c>
      <c r="E205" t="inlineStr">
        <is>
          <t>HALLSBERG</t>
        </is>
      </c>
      <c r="G205" t="n">
        <v>1.8</v>
      </c>
      <c r="H205" t="n">
        <v>1</v>
      </c>
      <c r="I205" t="n">
        <v>0</v>
      </c>
      <c r="J205" t="n">
        <v>0</v>
      </c>
      <c r="K205" t="n">
        <v>0</v>
      </c>
      <c r="L205" t="n">
        <v>0</v>
      </c>
      <c r="M205" t="n">
        <v>0</v>
      </c>
      <c r="N205" t="n">
        <v>0</v>
      </c>
      <c r="O205" t="n">
        <v>0</v>
      </c>
      <c r="P205" t="n">
        <v>0</v>
      </c>
      <c r="Q205" t="n">
        <v>1</v>
      </c>
      <c r="R205" s="2" t="inlineStr">
        <is>
          <t>Blåsippa</t>
        </is>
      </c>
      <c r="S205">
        <f>HYPERLINK("https://klasma.github.io/Logging_1861/artfynd/A 31483-2021 artfynd.xlsx", "A 31483-2021")</f>
        <v/>
      </c>
      <c r="T205">
        <f>HYPERLINK("https://klasma.github.io/Logging_1861/kartor/A 31483-2021 karta.png", "A 31483-2021")</f>
        <v/>
      </c>
      <c r="V205">
        <f>HYPERLINK("https://klasma.github.io/Logging_1861/klagomål/A 31483-2021 FSC-klagomål.docx", "A 31483-2021")</f>
        <v/>
      </c>
      <c r="W205">
        <f>HYPERLINK("https://klasma.github.io/Logging_1861/klagomålsmail/A 31483-2021 FSC-klagomål mail.docx", "A 31483-2021")</f>
        <v/>
      </c>
      <c r="X205">
        <f>HYPERLINK("https://klasma.github.io/Logging_1861/tillsyn/A 31483-2021 tillsynsbegäran.docx", "A 31483-2021")</f>
        <v/>
      </c>
      <c r="Y205">
        <f>HYPERLINK("https://klasma.github.io/Logging_1861/tillsynsmail/A 31483-2021 tillsynsbegäran mail.docx", "A 31483-2021")</f>
        <v/>
      </c>
    </row>
    <row r="206" ht="15" customHeight="1">
      <c r="A206" t="inlineStr">
        <is>
          <t>A 46114-2021</t>
        </is>
      </c>
      <c r="B206" s="1" t="n">
        <v>44442.37515046296</v>
      </c>
      <c r="C206" s="1" t="n">
        <v>45952</v>
      </c>
      <c r="D206" t="inlineStr">
        <is>
          <t>ÖREBRO LÄN</t>
        </is>
      </c>
      <c r="E206" t="inlineStr">
        <is>
          <t>HÄLLEFORS</t>
        </is>
      </c>
      <c r="F206" t="inlineStr">
        <is>
          <t>Sveaskog</t>
        </is>
      </c>
      <c r="G206" t="n">
        <v>4.1</v>
      </c>
      <c r="H206" t="n">
        <v>0</v>
      </c>
      <c r="I206" t="n">
        <v>1</v>
      </c>
      <c r="J206" t="n">
        <v>0</v>
      </c>
      <c r="K206" t="n">
        <v>0</v>
      </c>
      <c r="L206" t="n">
        <v>0</v>
      </c>
      <c r="M206" t="n">
        <v>0</v>
      </c>
      <c r="N206" t="n">
        <v>0</v>
      </c>
      <c r="O206" t="n">
        <v>0</v>
      </c>
      <c r="P206" t="n">
        <v>0</v>
      </c>
      <c r="Q206" t="n">
        <v>1</v>
      </c>
      <c r="R206" s="2" t="inlineStr">
        <is>
          <t>Skuggblåslav</t>
        </is>
      </c>
      <c r="S206">
        <f>HYPERLINK("https://klasma.github.io/Logging_1863/artfynd/A 46114-2021 artfynd.xlsx", "A 46114-2021")</f>
        <v/>
      </c>
      <c r="T206">
        <f>HYPERLINK("https://klasma.github.io/Logging_1863/kartor/A 46114-2021 karta.png", "A 46114-2021")</f>
        <v/>
      </c>
      <c r="V206">
        <f>HYPERLINK("https://klasma.github.io/Logging_1863/klagomål/A 46114-2021 FSC-klagomål.docx", "A 46114-2021")</f>
        <v/>
      </c>
      <c r="W206">
        <f>HYPERLINK("https://klasma.github.io/Logging_1863/klagomålsmail/A 46114-2021 FSC-klagomål mail.docx", "A 46114-2021")</f>
        <v/>
      </c>
      <c r="X206">
        <f>HYPERLINK("https://klasma.github.io/Logging_1863/tillsyn/A 46114-2021 tillsynsbegäran.docx", "A 46114-2021")</f>
        <v/>
      </c>
      <c r="Y206">
        <f>HYPERLINK("https://klasma.github.io/Logging_1863/tillsynsmail/A 46114-2021 tillsynsbegäran mail.docx", "A 46114-2021")</f>
        <v/>
      </c>
    </row>
    <row r="207" ht="15" customHeight="1">
      <c r="A207" t="inlineStr">
        <is>
          <t>A 32713-2021</t>
        </is>
      </c>
      <c r="B207" s="1" t="n">
        <v>44375</v>
      </c>
      <c r="C207" s="1" t="n">
        <v>45952</v>
      </c>
      <c r="D207" t="inlineStr">
        <is>
          <t>ÖREBRO LÄN</t>
        </is>
      </c>
      <c r="E207" t="inlineStr">
        <is>
          <t>LINDESBERG</t>
        </is>
      </c>
      <c r="F207" t="inlineStr">
        <is>
          <t>Kommuner</t>
        </is>
      </c>
      <c r="G207" t="n">
        <v>3.9</v>
      </c>
      <c r="H207" t="n">
        <v>0</v>
      </c>
      <c r="I207" t="n">
        <v>0</v>
      </c>
      <c r="J207" t="n">
        <v>0</v>
      </c>
      <c r="K207" t="n">
        <v>0</v>
      </c>
      <c r="L207" t="n">
        <v>1</v>
      </c>
      <c r="M207" t="n">
        <v>0</v>
      </c>
      <c r="N207" t="n">
        <v>0</v>
      </c>
      <c r="O207" t="n">
        <v>1</v>
      </c>
      <c r="P207" t="n">
        <v>1</v>
      </c>
      <c r="Q207" t="n">
        <v>1</v>
      </c>
      <c r="R207" s="2" t="inlineStr">
        <is>
          <t>Ask</t>
        </is>
      </c>
      <c r="S207">
        <f>HYPERLINK("https://klasma.github.io/Logging_1885/artfynd/A 32713-2021 artfynd.xlsx", "A 32713-2021")</f>
        <v/>
      </c>
      <c r="T207">
        <f>HYPERLINK("https://klasma.github.io/Logging_1885/kartor/A 32713-2021 karta.png", "A 32713-2021")</f>
        <v/>
      </c>
      <c r="V207">
        <f>HYPERLINK("https://klasma.github.io/Logging_1885/klagomål/A 32713-2021 FSC-klagomål.docx", "A 32713-2021")</f>
        <v/>
      </c>
      <c r="W207">
        <f>HYPERLINK("https://klasma.github.io/Logging_1885/klagomålsmail/A 32713-2021 FSC-klagomål mail.docx", "A 32713-2021")</f>
        <v/>
      </c>
      <c r="X207">
        <f>HYPERLINK("https://klasma.github.io/Logging_1885/tillsyn/A 32713-2021 tillsynsbegäran.docx", "A 32713-2021")</f>
        <v/>
      </c>
      <c r="Y207">
        <f>HYPERLINK("https://klasma.github.io/Logging_1885/tillsynsmail/A 32713-2021 tillsynsbegäran mail.docx", "A 32713-2021")</f>
        <v/>
      </c>
    </row>
    <row r="208" ht="15" customHeight="1">
      <c r="A208" t="inlineStr">
        <is>
          <t>A 39540-2022</t>
        </is>
      </c>
      <c r="B208" s="1" t="n">
        <v>44818</v>
      </c>
      <c r="C208" s="1" t="n">
        <v>45952</v>
      </c>
      <c r="D208" t="inlineStr">
        <is>
          <t>ÖREBRO LÄN</t>
        </is>
      </c>
      <c r="E208" t="inlineStr">
        <is>
          <t>HÄLLEFORS</t>
        </is>
      </c>
      <c r="G208" t="n">
        <v>0.5</v>
      </c>
      <c r="H208" t="n">
        <v>0</v>
      </c>
      <c r="I208" t="n">
        <v>1</v>
      </c>
      <c r="J208" t="n">
        <v>0</v>
      </c>
      <c r="K208" t="n">
        <v>0</v>
      </c>
      <c r="L208" t="n">
        <v>0</v>
      </c>
      <c r="M208" t="n">
        <v>0</v>
      </c>
      <c r="N208" t="n">
        <v>0</v>
      </c>
      <c r="O208" t="n">
        <v>0</v>
      </c>
      <c r="P208" t="n">
        <v>0</v>
      </c>
      <c r="Q208" t="n">
        <v>1</v>
      </c>
      <c r="R208" s="2" t="inlineStr">
        <is>
          <t>Norrlandslav</t>
        </is>
      </c>
      <c r="S208">
        <f>HYPERLINK("https://klasma.github.io/Logging_1863/artfynd/A 39540-2022 artfynd.xlsx", "A 39540-2022")</f>
        <v/>
      </c>
      <c r="T208">
        <f>HYPERLINK("https://klasma.github.io/Logging_1863/kartor/A 39540-2022 karta.png", "A 39540-2022")</f>
        <v/>
      </c>
      <c r="V208">
        <f>HYPERLINK("https://klasma.github.io/Logging_1863/klagomål/A 39540-2022 FSC-klagomål.docx", "A 39540-2022")</f>
        <v/>
      </c>
      <c r="W208">
        <f>HYPERLINK("https://klasma.github.io/Logging_1863/klagomålsmail/A 39540-2022 FSC-klagomål mail.docx", "A 39540-2022")</f>
        <v/>
      </c>
      <c r="X208">
        <f>HYPERLINK("https://klasma.github.io/Logging_1863/tillsyn/A 39540-2022 tillsynsbegäran.docx", "A 39540-2022")</f>
        <v/>
      </c>
      <c r="Y208">
        <f>HYPERLINK("https://klasma.github.io/Logging_1863/tillsynsmail/A 39540-2022 tillsynsbegäran mail.docx", "A 39540-2022")</f>
        <v/>
      </c>
    </row>
    <row r="209" ht="15" customHeight="1">
      <c r="A209" t="inlineStr">
        <is>
          <t>A 58764-2020</t>
        </is>
      </c>
      <c r="B209" s="1" t="n">
        <v>44146</v>
      </c>
      <c r="C209" s="1" t="n">
        <v>45952</v>
      </c>
      <c r="D209" t="inlineStr">
        <is>
          <t>ÖREBRO LÄN</t>
        </is>
      </c>
      <c r="E209" t="inlineStr">
        <is>
          <t>HÄLLEFORS</t>
        </is>
      </c>
      <c r="F209" t="inlineStr">
        <is>
          <t>Sveaskog</t>
        </is>
      </c>
      <c r="G209" t="n">
        <v>2</v>
      </c>
      <c r="H209" t="n">
        <v>1</v>
      </c>
      <c r="I209" t="n">
        <v>0</v>
      </c>
      <c r="J209" t="n">
        <v>1</v>
      </c>
      <c r="K209" t="n">
        <v>0</v>
      </c>
      <c r="L209" t="n">
        <v>0</v>
      </c>
      <c r="M209" t="n">
        <v>0</v>
      </c>
      <c r="N209" t="n">
        <v>0</v>
      </c>
      <c r="O209" t="n">
        <v>1</v>
      </c>
      <c r="P209" t="n">
        <v>0</v>
      </c>
      <c r="Q209" t="n">
        <v>1</v>
      </c>
      <c r="R209" s="2" t="inlineStr">
        <is>
          <t>Utter</t>
        </is>
      </c>
      <c r="S209">
        <f>HYPERLINK("https://klasma.github.io/Logging_1863/artfynd/A 58764-2020 artfynd.xlsx", "A 58764-2020")</f>
        <v/>
      </c>
      <c r="T209">
        <f>HYPERLINK("https://klasma.github.io/Logging_1863/kartor/A 58764-2020 karta.png", "A 58764-2020")</f>
        <v/>
      </c>
      <c r="V209">
        <f>HYPERLINK("https://klasma.github.io/Logging_1863/klagomål/A 58764-2020 FSC-klagomål.docx", "A 58764-2020")</f>
        <v/>
      </c>
      <c r="W209">
        <f>HYPERLINK("https://klasma.github.io/Logging_1863/klagomålsmail/A 58764-2020 FSC-klagomål mail.docx", "A 58764-2020")</f>
        <v/>
      </c>
      <c r="X209">
        <f>HYPERLINK("https://klasma.github.io/Logging_1863/tillsyn/A 58764-2020 tillsynsbegäran.docx", "A 58764-2020")</f>
        <v/>
      </c>
      <c r="Y209">
        <f>HYPERLINK("https://klasma.github.io/Logging_1863/tillsynsmail/A 58764-2020 tillsynsbegäran mail.docx", "A 58764-2020")</f>
        <v/>
      </c>
    </row>
    <row r="210" ht="15" customHeight="1">
      <c r="A210" t="inlineStr">
        <is>
          <t>A 29704-2022</t>
        </is>
      </c>
      <c r="B210" s="1" t="n">
        <v>44755</v>
      </c>
      <c r="C210" s="1" t="n">
        <v>45952</v>
      </c>
      <c r="D210" t="inlineStr">
        <is>
          <t>ÖREBRO LÄN</t>
        </is>
      </c>
      <c r="E210" t="inlineStr">
        <is>
          <t>ÖREBRO</t>
        </is>
      </c>
      <c r="F210" t="inlineStr">
        <is>
          <t>Kommuner</t>
        </is>
      </c>
      <c r="G210" t="n">
        <v>1.1</v>
      </c>
      <c r="H210" t="n">
        <v>0</v>
      </c>
      <c r="I210" t="n">
        <v>0</v>
      </c>
      <c r="J210" t="n">
        <v>1</v>
      </c>
      <c r="K210" t="n">
        <v>0</v>
      </c>
      <c r="L210" t="n">
        <v>0</v>
      </c>
      <c r="M210" t="n">
        <v>0</v>
      </c>
      <c r="N210" t="n">
        <v>0</v>
      </c>
      <c r="O210" t="n">
        <v>1</v>
      </c>
      <c r="P210" t="n">
        <v>0</v>
      </c>
      <c r="Q210" t="n">
        <v>1</v>
      </c>
      <c r="R210" s="2" t="inlineStr">
        <is>
          <t>Motaggsvamp</t>
        </is>
      </c>
      <c r="S210">
        <f>HYPERLINK("https://klasma.github.io/Logging_1880/artfynd/A 29704-2022 artfynd.xlsx", "A 29704-2022")</f>
        <v/>
      </c>
      <c r="T210">
        <f>HYPERLINK("https://klasma.github.io/Logging_1880/kartor/A 29704-2022 karta.png", "A 29704-2022")</f>
        <v/>
      </c>
      <c r="V210">
        <f>HYPERLINK("https://klasma.github.io/Logging_1880/klagomål/A 29704-2022 FSC-klagomål.docx", "A 29704-2022")</f>
        <v/>
      </c>
      <c r="W210">
        <f>HYPERLINK("https://klasma.github.io/Logging_1880/klagomålsmail/A 29704-2022 FSC-klagomål mail.docx", "A 29704-2022")</f>
        <v/>
      </c>
      <c r="X210">
        <f>HYPERLINK("https://klasma.github.io/Logging_1880/tillsyn/A 29704-2022 tillsynsbegäran.docx", "A 29704-2022")</f>
        <v/>
      </c>
      <c r="Y210">
        <f>HYPERLINK("https://klasma.github.io/Logging_1880/tillsynsmail/A 29704-2022 tillsynsbegäran mail.docx", "A 29704-2022")</f>
        <v/>
      </c>
    </row>
    <row r="211" ht="15" customHeight="1">
      <c r="A211" t="inlineStr">
        <is>
          <t>A 64874-2021</t>
        </is>
      </c>
      <c r="B211" s="1" t="n">
        <v>44512</v>
      </c>
      <c r="C211" s="1" t="n">
        <v>45952</v>
      </c>
      <c r="D211" t="inlineStr">
        <is>
          <t>ÖREBRO LÄN</t>
        </is>
      </c>
      <c r="E211" t="inlineStr">
        <is>
          <t>LINDESBERG</t>
        </is>
      </c>
      <c r="G211" t="n">
        <v>5.4</v>
      </c>
      <c r="H211" t="n">
        <v>1</v>
      </c>
      <c r="I211" t="n">
        <v>0</v>
      </c>
      <c r="J211" t="n">
        <v>0</v>
      </c>
      <c r="K211" t="n">
        <v>1</v>
      </c>
      <c r="L211" t="n">
        <v>0</v>
      </c>
      <c r="M211" t="n">
        <v>0</v>
      </c>
      <c r="N211" t="n">
        <v>0</v>
      </c>
      <c r="O211" t="n">
        <v>1</v>
      </c>
      <c r="P211" t="n">
        <v>1</v>
      </c>
      <c r="Q211" t="n">
        <v>1</v>
      </c>
      <c r="R211" s="2" t="inlineStr">
        <is>
          <t>Bombmurkla</t>
        </is>
      </c>
      <c r="S211">
        <f>HYPERLINK("https://klasma.github.io/Logging_1885/artfynd/A 64874-2021 artfynd.xlsx", "A 64874-2021")</f>
        <v/>
      </c>
      <c r="T211">
        <f>HYPERLINK("https://klasma.github.io/Logging_1885/kartor/A 64874-2021 karta.png", "A 64874-2021")</f>
        <v/>
      </c>
      <c r="V211">
        <f>HYPERLINK("https://klasma.github.io/Logging_1885/klagomål/A 64874-2021 FSC-klagomål.docx", "A 64874-2021")</f>
        <v/>
      </c>
      <c r="W211">
        <f>HYPERLINK("https://klasma.github.io/Logging_1885/klagomålsmail/A 64874-2021 FSC-klagomål mail.docx", "A 64874-2021")</f>
        <v/>
      </c>
      <c r="X211">
        <f>HYPERLINK("https://klasma.github.io/Logging_1885/tillsyn/A 64874-2021 tillsynsbegäran.docx", "A 64874-2021")</f>
        <v/>
      </c>
      <c r="Y211">
        <f>HYPERLINK("https://klasma.github.io/Logging_1885/tillsynsmail/A 64874-2021 tillsynsbegäran mail.docx", "A 64874-2021")</f>
        <v/>
      </c>
    </row>
    <row r="212" ht="15" customHeight="1">
      <c r="A212" t="inlineStr">
        <is>
          <t>A 49670-2022</t>
        </is>
      </c>
      <c r="B212" s="1" t="n">
        <v>44862.47282407407</v>
      </c>
      <c r="C212" s="1" t="n">
        <v>45952</v>
      </c>
      <c r="D212" t="inlineStr">
        <is>
          <t>ÖREBRO LÄN</t>
        </is>
      </c>
      <c r="E212" t="inlineStr">
        <is>
          <t>HALLSBERG</t>
        </is>
      </c>
      <c r="G212" t="n">
        <v>7.1</v>
      </c>
      <c r="H212" t="n">
        <v>1</v>
      </c>
      <c r="I212" t="n">
        <v>0</v>
      </c>
      <c r="J212" t="n">
        <v>0</v>
      </c>
      <c r="K212" t="n">
        <v>1</v>
      </c>
      <c r="L212" t="n">
        <v>0</v>
      </c>
      <c r="M212" t="n">
        <v>0</v>
      </c>
      <c r="N212" t="n">
        <v>0</v>
      </c>
      <c r="O212" t="n">
        <v>1</v>
      </c>
      <c r="P212" t="n">
        <v>1</v>
      </c>
      <c r="Q212" t="n">
        <v>1</v>
      </c>
      <c r="R212" s="2" t="inlineStr">
        <is>
          <t>Knärot</t>
        </is>
      </c>
      <c r="S212">
        <f>HYPERLINK("https://klasma.github.io/Logging_1861/artfynd/A 49670-2022 artfynd.xlsx", "A 49670-2022")</f>
        <v/>
      </c>
      <c r="T212">
        <f>HYPERLINK("https://klasma.github.io/Logging_1861/kartor/A 49670-2022 karta.png", "A 49670-2022")</f>
        <v/>
      </c>
      <c r="U212">
        <f>HYPERLINK("https://klasma.github.io/Logging_1861/knärot/A 49670-2022 karta knärot.png", "A 49670-2022")</f>
        <v/>
      </c>
      <c r="V212">
        <f>HYPERLINK("https://klasma.github.io/Logging_1861/klagomål/A 49670-2022 FSC-klagomål.docx", "A 49670-2022")</f>
        <v/>
      </c>
      <c r="W212">
        <f>HYPERLINK("https://klasma.github.io/Logging_1861/klagomålsmail/A 49670-2022 FSC-klagomål mail.docx", "A 49670-2022")</f>
        <v/>
      </c>
      <c r="X212">
        <f>HYPERLINK("https://klasma.github.io/Logging_1861/tillsyn/A 49670-2022 tillsynsbegäran.docx", "A 49670-2022")</f>
        <v/>
      </c>
      <c r="Y212">
        <f>HYPERLINK("https://klasma.github.io/Logging_1861/tillsynsmail/A 49670-2022 tillsynsbegäran mail.docx", "A 49670-2022")</f>
        <v/>
      </c>
    </row>
    <row r="213" ht="15" customHeight="1">
      <c r="A213" t="inlineStr">
        <is>
          <t>A 71826-2021</t>
        </is>
      </c>
      <c r="B213" s="1" t="n">
        <v>44543</v>
      </c>
      <c r="C213" s="1" t="n">
        <v>45952</v>
      </c>
      <c r="D213" t="inlineStr">
        <is>
          <t>ÖREBRO LÄN</t>
        </is>
      </c>
      <c r="E213" t="inlineStr">
        <is>
          <t>HÄLLEFORS</t>
        </is>
      </c>
      <c r="F213" t="inlineStr">
        <is>
          <t>Sveaskog</t>
        </is>
      </c>
      <c r="G213" t="n">
        <v>0.2</v>
      </c>
      <c r="H213" t="n">
        <v>1</v>
      </c>
      <c r="I213" t="n">
        <v>0</v>
      </c>
      <c r="J213" t="n">
        <v>0</v>
      </c>
      <c r="K213" t="n">
        <v>0</v>
      </c>
      <c r="L213" t="n">
        <v>0</v>
      </c>
      <c r="M213" t="n">
        <v>0</v>
      </c>
      <c r="N213" t="n">
        <v>0</v>
      </c>
      <c r="O213" t="n">
        <v>0</v>
      </c>
      <c r="P213" t="n">
        <v>0</v>
      </c>
      <c r="Q213" t="n">
        <v>1</v>
      </c>
      <c r="R213" s="2" t="inlineStr">
        <is>
          <t>Gullviva</t>
        </is>
      </c>
      <c r="S213">
        <f>HYPERLINK("https://klasma.github.io/Logging_1863/artfynd/A 71826-2021 artfynd.xlsx", "A 71826-2021")</f>
        <v/>
      </c>
      <c r="T213">
        <f>HYPERLINK("https://klasma.github.io/Logging_1863/kartor/A 71826-2021 karta.png", "A 71826-2021")</f>
        <v/>
      </c>
      <c r="V213">
        <f>HYPERLINK("https://klasma.github.io/Logging_1863/klagomål/A 71826-2021 FSC-klagomål.docx", "A 71826-2021")</f>
        <v/>
      </c>
      <c r="W213">
        <f>HYPERLINK("https://klasma.github.io/Logging_1863/klagomålsmail/A 71826-2021 FSC-klagomål mail.docx", "A 71826-2021")</f>
        <v/>
      </c>
      <c r="X213">
        <f>HYPERLINK("https://klasma.github.io/Logging_1863/tillsyn/A 71826-2021 tillsynsbegäran.docx", "A 71826-2021")</f>
        <v/>
      </c>
      <c r="Y213">
        <f>HYPERLINK("https://klasma.github.io/Logging_1863/tillsynsmail/A 71826-2021 tillsynsbegäran mail.docx", "A 71826-2021")</f>
        <v/>
      </c>
    </row>
    <row r="214" ht="15" customHeight="1">
      <c r="A214" t="inlineStr">
        <is>
          <t>A 27721-2021</t>
        </is>
      </c>
      <c r="B214" s="1" t="n">
        <v>44354</v>
      </c>
      <c r="C214" s="1" t="n">
        <v>45952</v>
      </c>
      <c r="D214" t="inlineStr">
        <is>
          <t>ÖREBRO LÄN</t>
        </is>
      </c>
      <c r="E214" t="inlineStr">
        <is>
          <t>KARLSKOGA</t>
        </is>
      </c>
      <c r="F214" t="inlineStr">
        <is>
          <t>Sveaskog</t>
        </is>
      </c>
      <c r="G214" t="n">
        <v>1.9</v>
      </c>
      <c r="H214" t="n">
        <v>0</v>
      </c>
      <c r="I214" t="n">
        <v>0</v>
      </c>
      <c r="J214" t="n">
        <v>1</v>
      </c>
      <c r="K214" t="n">
        <v>0</v>
      </c>
      <c r="L214" t="n">
        <v>0</v>
      </c>
      <c r="M214" t="n">
        <v>0</v>
      </c>
      <c r="N214" t="n">
        <v>0</v>
      </c>
      <c r="O214" t="n">
        <v>1</v>
      </c>
      <c r="P214" t="n">
        <v>0</v>
      </c>
      <c r="Q214" t="n">
        <v>1</v>
      </c>
      <c r="R214" s="2" t="inlineStr">
        <is>
          <t>Sexfläckig bastardsvärmare</t>
        </is>
      </c>
      <c r="S214">
        <f>HYPERLINK("https://klasma.github.io/Logging_1883/artfynd/A 27721-2021 artfynd.xlsx", "A 27721-2021")</f>
        <v/>
      </c>
      <c r="T214">
        <f>HYPERLINK("https://klasma.github.io/Logging_1883/kartor/A 27721-2021 karta.png", "A 27721-2021")</f>
        <v/>
      </c>
      <c r="V214">
        <f>HYPERLINK("https://klasma.github.io/Logging_1883/klagomål/A 27721-2021 FSC-klagomål.docx", "A 27721-2021")</f>
        <v/>
      </c>
      <c r="W214">
        <f>HYPERLINK("https://klasma.github.io/Logging_1883/klagomålsmail/A 27721-2021 FSC-klagomål mail.docx", "A 27721-2021")</f>
        <v/>
      </c>
      <c r="X214">
        <f>HYPERLINK("https://klasma.github.io/Logging_1883/tillsyn/A 27721-2021 tillsynsbegäran.docx", "A 27721-2021")</f>
        <v/>
      </c>
      <c r="Y214">
        <f>HYPERLINK("https://klasma.github.io/Logging_1883/tillsynsmail/A 27721-2021 tillsynsbegäran mail.docx", "A 27721-2021")</f>
        <v/>
      </c>
    </row>
    <row r="215" ht="15" customHeight="1">
      <c r="A215" t="inlineStr">
        <is>
          <t>A 22472-2022</t>
        </is>
      </c>
      <c r="B215" s="1" t="n">
        <v>44713.59363425926</v>
      </c>
      <c r="C215" s="1" t="n">
        <v>45952</v>
      </c>
      <c r="D215" t="inlineStr">
        <is>
          <t>ÖREBRO LÄN</t>
        </is>
      </c>
      <c r="E215" t="inlineStr">
        <is>
          <t>LINDESBERG</t>
        </is>
      </c>
      <c r="F215" t="inlineStr">
        <is>
          <t>Sveaskog</t>
        </is>
      </c>
      <c r="G215" t="n">
        <v>9.199999999999999</v>
      </c>
      <c r="H215" t="n">
        <v>1</v>
      </c>
      <c r="I215" t="n">
        <v>0</v>
      </c>
      <c r="J215" t="n">
        <v>0</v>
      </c>
      <c r="K215" t="n">
        <v>0</v>
      </c>
      <c r="L215" t="n">
        <v>0</v>
      </c>
      <c r="M215" t="n">
        <v>0</v>
      </c>
      <c r="N215" t="n">
        <v>0</v>
      </c>
      <c r="O215" t="n">
        <v>0</v>
      </c>
      <c r="P215" t="n">
        <v>0</v>
      </c>
      <c r="Q215" t="n">
        <v>1</v>
      </c>
      <c r="R215" s="2" t="inlineStr">
        <is>
          <t>Fläcknycklar</t>
        </is>
      </c>
      <c r="S215">
        <f>HYPERLINK("https://klasma.github.io/Logging_1885/artfynd/A 22472-2022 artfynd.xlsx", "A 22472-2022")</f>
        <v/>
      </c>
      <c r="T215">
        <f>HYPERLINK("https://klasma.github.io/Logging_1885/kartor/A 22472-2022 karta.png", "A 22472-2022")</f>
        <v/>
      </c>
      <c r="V215">
        <f>HYPERLINK("https://klasma.github.io/Logging_1885/klagomål/A 22472-2022 FSC-klagomål.docx", "A 22472-2022")</f>
        <v/>
      </c>
      <c r="W215">
        <f>HYPERLINK("https://klasma.github.io/Logging_1885/klagomålsmail/A 22472-2022 FSC-klagomål mail.docx", "A 22472-2022")</f>
        <v/>
      </c>
      <c r="X215">
        <f>HYPERLINK("https://klasma.github.io/Logging_1885/tillsyn/A 22472-2022 tillsynsbegäran.docx", "A 22472-2022")</f>
        <v/>
      </c>
      <c r="Y215">
        <f>HYPERLINK("https://klasma.github.io/Logging_1885/tillsynsmail/A 22472-2022 tillsynsbegäran mail.docx", "A 22472-2022")</f>
        <v/>
      </c>
    </row>
    <row r="216" ht="15" customHeight="1">
      <c r="A216" t="inlineStr">
        <is>
          <t>A 43742-2022</t>
        </is>
      </c>
      <c r="B216" s="1" t="n">
        <v>44837</v>
      </c>
      <c r="C216" s="1" t="n">
        <v>45952</v>
      </c>
      <c r="D216" t="inlineStr">
        <is>
          <t>ÖREBRO LÄN</t>
        </is>
      </c>
      <c r="E216" t="inlineStr">
        <is>
          <t>LAXÅ</t>
        </is>
      </c>
      <c r="G216" t="n">
        <v>16.8</v>
      </c>
      <c r="H216" t="n">
        <v>0</v>
      </c>
      <c r="I216" t="n">
        <v>0</v>
      </c>
      <c r="J216" t="n">
        <v>1</v>
      </c>
      <c r="K216" t="n">
        <v>0</v>
      </c>
      <c r="L216" t="n">
        <v>0</v>
      </c>
      <c r="M216" t="n">
        <v>0</v>
      </c>
      <c r="N216" t="n">
        <v>0</v>
      </c>
      <c r="O216" t="n">
        <v>1</v>
      </c>
      <c r="P216" t="n">
        <v>0</v>
      </c>
      <c r="Q216" t="n">
        <v>1</v>
      </c>
      <c r="R216" s="2" t="inlineStr">
        <is>
          <t>Violettkantad guldvinge</t>
        </is>
      </c>
      <c r="S216">
        <f>HYPERLINK("https://klasma.github.io/Logging_1860/artfynd/A 43742-2022 artfynd.xlsx", "A 43742-2022")</f>
        <v/>
      </c>
      <c r="T216">
        <f>HYPERLINK("https://klasma.github.io/Logging_1860/kartor/A 43742-2022 karta.png", "A 43742-2022")</f>
        <v/>
      </c>
      <c r="V216">
        <f>HYPERLINK("https://klasma.github.io/Logging_1860/klagomål/A 43742-2022 FSC-klagomål.docx", "A 43742-2022")</f>
        <v/>
      </c>
      <c r="W216">
        <f>HYPERLINK("https://klasma.github.io/Logging_1860/klagomålsmail/A 43742-2022 FSC-klagomål mail.docx", "A 43742-2022")</f>
        <v/>
      </c>
      <c r="X216">
        <f>HYPERLINK("https://klasma.github.io/Logging_1860/tillsyn/A 43742-2022 tillsynsbegäran.docx", "A 43742-2022")</f>
        <v/>
      </c>
      <c r="Y216">
        <f>HYPERLINK("https://klasma.github.io/Logging_1860/tillsynsmail/A 43742-2022 tillsynsbegäran mail.docx", "A 43742-2022")</f>
        <v/>
      </c>
    </row>
    <row r="217" ht="15" customHeight="1">
      <c r="A217" t="inlineStr">
        <is>
          <t>A 54304-2022</t>
        </is>
      </c>
      <c r="B217" s="1" t="n">
        <v>44882</v>
      </c>
      <c r="C217" s="1" t="n">
        <v>45952</v>
      </c>
      <c r="D217" t="inlineStr">
        <is>
          <t>ÖREBRO LÄN</t>
        </is>
      </c>
      <c r="E217" t="inlineStr">
        <is>
          <t>LAXÅ</t>
        </is>
      </c>
      <c r="F217" t="inlineStr">
        <is>
          <t>Sveaskog</t>
        </is>
      </c>
      <c r="G217" t="n">
        <v>4.1</v>
      </c>
      <c r="H217" t="n">
        <v>1</v>
      </c>
      <c r="I217" t="n">
        <v>0</v>
      </c>
      <c r="J217" t="n">
        <v>0</v>
      </c>
      <c r="K217" t="n">
        <v>0</v>
      </c>
      <c r="L217" t="n">
        <v>0</v>
      </c>
      <c r="M217" t="n">
        <v>0</v>
      </c>
      <c r="N217" t="n">
        <v>0</v>
      </c>
      <c r="O217" t="n">
        <v>0</v>
      </c>
      <c r="P217" t="n">
        <v>0</v>
      </c>
      <c r="Q217" t="n">
        <v>1</v>
      </c>
      <c r="R217" s="2" t="inlineStr">
        <is>
          <t>Tjäder</t>
        </is>
      </c>
      <c r="S217">
        <f>HYPERLINK("https://klasma.github.io/Logging_1860/artfynd/A 54304-2022 artfynd.xlsx", "A 54304-2022")</f>
        <v/>
      </c>
      <c r="T217">
        <f>HYPERLINK("https://klasma.github.io/Logging_1860/kartor/A 54304-2022 karta.png", "A 54304-2022")</f>
        <v/>
      </c>
      <c r="V217">
        <f>HYPERLINK("https://klasma.github.io/Logging_1860/klagomål/A 54304-2022 FSC-klagomål.docx", "A 54304-2022")</f>
        <v/>
      </c>
      <c r="W217">
        <f>HYPERLINK("https://klasma.github.io/Logging_1860/klagomålsmail/A 54304-2022 FSC-klagomål mail.docx", "A 54304-2022")</f>
        <v/>
      </c>
      <c r="X217">
        <f>HYPERLINK("https://klasma.github.io/Logging_1860/tillsyn/A 54304-2022 tillsynsbegäran.docx", "A 54304-2022")</f>
        <v/>
      </c>
      <c r="Y217">
        <f>HYPERLINK("https://klasma.github.io/Logging_1860/tillsynsmail/A 54304-2022 tillsynsbegäran mail.docx", "A 54304-2022")</f>
        <v/>
      </c>
      <c r="Z217">
        <f>HYPERLINK("https://klasma.github.io/Logging_1860/fåglar/A 54304-2022 prioriterade fågelarter.docx", "A 54304-2022")</f>
        <v/>
      </c>
    </row>
    <row r="218" ht="15" customHeight="1">
      <c r="A218" t="inlineStr">
        <is>
          <t>A 128-2021</t>
        </is>
      </c>
      <c r="B218" s="1" t="n">
        <v>44200</v>
      </c>
      <c r="C218" s="1" t="n">
        <v>45952</v>
      </c>
      <c r="D218" t="inlineStr">
        <is>
          <t>ÖREBRO LÄN</t>
        </is>
      </c>
      <c r="E218" t="inlineStr">
        <is>
          <t>HÄLLEFORS</t>
        </is>
      </c>
      <c r="G218" t="n">
        <v>4.3</v>
      </c>
      <c r="H218" t="n">
        <v>1</v>
      </c>
      <c r="I218" t="n">
        <v>1</v>
      </c>
      <c r="J218" t="n">
        <v>0</v>
      </c>
      <c r="K218" t="n">
        <v>0</v>
      </c>
      <c r="L218" t="n">
        <v>0</v>
      </c>
      <c r="M218" t="n">
        <v>0</v>
      </c>
      <c r="N218" t="n">
        <v>0</v>
      </c>
      <c r="O218" t="n">
        <v>0</v>
      </c>
      <c r="P218" t="n">
        <v>0</v>
      </c>
      <c r="Q218" t="n">
        <v>1</v>
      </c>
      <c r="R218" s="2" t="inlineStr">
        <is>
          <t>Purpurknipprot</t>
        </is>
      </c>
      <c r="S218">
        <f>HYPERLINK("https://klasma.github.io/Logging_1863/artfynd/A 128-2021 artfynd.xlsx", "A 128-2021")</f>
        <v/>
      </c>
      <c r="T218">
        <f>HYPERLINK("https://klasma.github.io/Logging_1863/kartor/A 128-2021 karta.png", "A 128-2021")</f>
        <v/>
      </c>
      <c r="V218">
        <f>HYPERLINK("https://klasma.github.io/Logging_1863/klagomål/A 128-2021 FSC-klagomål.docx", "A 128-2021")</f>
        <v/>
      </c>
      <c r="W218">
        <f>HYPERLINK("https://klasma.github.io/Logging_1863/klagomålsmail/A 128-2021 FSC-klagomål mail.docx", "A 128-2021")</f>
        <v/>
      </c>
      <c r="X218">
        <f>HYPERLINK("https://klasma.github.io/Logging_1863/tillsyn/A 128-2021 tillsynsbegäran.docx", "A 128-2021")</f>
        <v/>
      </c>
      <c r="Y218">
        <f>HYPERLINK("https://klasma.github.io/Logging_1863/tillsynsmail/A 128-2021 tillsynsbegäran mail.docx", "A 128-2021")</f>
        <v/>
      </c>
    </row>
    <row r="219" ht="15" customHeight="1">
      <c r="A219" t="inlineStr">
        <is>
          <t>A 54134-2021</t>
        </is>
      </c>
      <c r="B219" s="1" t="n">
        <v>44470</v>
      </c>
      <c r="C219" s="1" t="n">
        <v>45952</v>
      </c>
      <c r="D219" t="inlineStr">
        <is>
          <t>ÖREBRO LÄN</t>
        </is>
      </c>
      <c r="E219" t="inlineStr">
        <is>
          <t>DEGERFORS</t>
        </is>
      </c>
      <c r="F219" t="inlineStr">
        <is>
          <t>Sveaskog</t>
        </is>
      </c>
      <c r="G219" t="n">
        <v>2.3</v>
      </c>
      <c r="H219" t="n">
        <v>0</v>
      </c>
      <c r="I219" t="n">
        <v>0</v>
      </c>
      <c r="J219" t="n">
        <v>1</v>
      </c>
      <c r="K219" t="n">
        <v>0</v>
      </c>
      <c r="L219" t="n">
        <v>0</v>
      </c>
      <c r="M219" t="n">
        <v>0</v>
      </c>
      <c r="N219" t="n">
        <v>0</v>
      </c>
      <c r="O219" t="n">
        <v>1</v>
      </c>
      <c r="P219" t="n">
        <v>0</v>
      </c>
      <c r="Q219" t="n">
        <v>1</v>
      </c>
      <c r="R219" s="2" t="inlineStr">
        <is>
          <t>Vedtrappmossa</t>
        </is>
      </c>
      <c r="S219">
        <f>HYPERLINK("https://klasma.github.io/Logging_1862/artfynd/A 54134-2021 artfynd.xlsx", "A 54134-2021")</f>
        <v/>
      </c>
      <c r="T219">
        <f>HYPERLINK("https://klasma.github.io/Logging_1862/kartor/A 54134-2021 karta.png", "A 54134-2021")</f>
        <v/>
      </c>
      <c r="V219">
        <f>HYPERLINK("https://klasma.github.io/Logging_1862/klagomål/A 54134-2021 FSC-klagomål.docx", "A 54134-2021")</f>
        <v/>
      </c>
      <c r="W219">
        <f>HYPERLINK("https://klasma.github.io/Logging_1862/klagomålsmail/A 54134-2021 FSC-klagomål mail.docx", "A 54134-2021")</f>
        <v/>
      </c>
      <c r="X219">
        <f>HYPERLINK("https://klasma.github.io/Logging_1862/tillsyn/A 54134-2021 tillsynsbegäran.docx", "A 54134-2021")</f>
        <v/>
      </c>
      <c r="Y219">
        <f>HYPERLINK("https://klasma.github.io/Logging_1862/tillsynsmail/A 54134-2021 tillsynsbegäran mail.docx", "A 54134-2021")</f>
        <v/>
      </c>
    </row>
    <row r="220" ht="15" customHeight="1">
      <c r="A220" t="inlineStr">
        <is>
          <t>A 58132-2021</t>
        </is>
      </c>
      <c r="B220" s="1" t="n">
        <v>44487</v>
      </c>
      <c r="C220" s="1" t="n">
        <v>45952</v>
      </c>
      <c r="D220" t="inlineStr">
        <is>
          <t>ÖREBRO LÄN</t>
        </is>
      </c>
      <c r="E220" t="inlineStr">
        <is>
          <t>DEGERFORS</t>
        </is>
      </c>
      <c r="F220" t="inlineStr">
        <is>
          <t>Sveaskog</t>
        </is>
      </c>
      <c r="G220" t="n">
        <v>1.2</v>
      </c>
      <c r="H220" t="n">
        <v>1</v>
      </c>
      <c r="I220" t="n">
        <v>0</v>
      </c>
      <c r="J220" t="n">
        <v>0</v>
      </c>
      <c r="K220" t="n">
        <v>0</v>
      </c>
      <c r="L220" t="n">
        <v>0</v>
      </c>
      <c r="M220" t="n">
        <v>0</v>
      </c>
      <c r="N220" t="n">
        <v>0</v>
      </c>
      <c r="O220" t="n">
        <v>0</v>
      </c>
      <c r="P220" t="n">
        <v>0</v>
      </c>
      <c r="Q220" t="n">
        <v>1</v>
      </c>
      <c r="R220" s="2" t="inlineStr">
        <is>
          <t>Hårklomossa</t>
        </is>
      </c>
      <c r="S220">
        <f>HYPERLINK("https://klasma.github.io/Logging_1862/artfynd/A 58132-2021 artfynd.xlsx", "A 58132-2021")</f>
        <v/>
      </c>
      <c r="T220">
        <f>HYPERLINK("https://klasma.github.io/Logging_1862/kartor/A 58132-2021 karta.png", "A 58132-2021")</f>
        <v/>
      </c>
      <c r="V220">
        <f>HYPERLINK("https://klasma.github.io/Logging_1862/klagomål/A 58132-2021 FSC-klagomål.docx", "A 58132-2021")</f>
        <v/>
      </c>
      <c r="W220">
        <f>HYPERLINK("https://klasma.github.io/Logging_1862/klagomålsmail/A 58132-2021 FSC-klagomål mail.docx", "A 58132-2021")</f>
        <v/>
      </c>
      <c r="X220">
        <f>HYPERLINK("https://klasma.github.io/Logging_1862/tillsyn/A 58132-2021 tillsynsbegäran.docx", "A 58132-2021")</f>
        <v/>
      </c>
      <c r="Y220">
        <f>HYPERLINK("https://klasma.github.io/Logging_1862/tillsynsmail/A 58132-2021 tillsynsbegäran mail.docx", "A 58132-2021")</f>
        <v/>
      </c>
    </row>
    <row r="221" ht="15" customHeight="1">
      <c r="A221" t="inlineStr">
        <is>
          <t>A 39575-2021</t>
        </is>
      </c>
      <c r="B221" s="1" t="n">
        <v>44416</v>
      </c>
      <c r="C221" s="1" t="n">
        <v>45952</v>
      </c>
      <c r="D221" t="inlineStr">
        <is>
          <t>ÖREBRO LÄN</t>
        </is>
      </c>
      <c r="E221" t="inlineStr">
        <is>
          <t>ASKERSUND</t>
        </is>
      </c>
      <c r="G221" t="n">
        <v>0.6</v>
      </c>
      <c r="H221" t="n">
        <v>1</v>
      </c>
      <c r="I221" t="n">
        <v>0</v>
      </c>
      <c r="J221" t="n">
        <v>0</v>
      </c>
      <c r="K221" t="n">
        <v>0</v>
      </c>
      <c r="L221" t="n">
        <v>0</v>
      </c>
      <c r="M221" t="n">
        <v>0</v>
      </c>
      <c r="N221" t="n">
        <v>0</v>
      </c>
      <c r="O221" t="n">
        <v>0</v>
      </c>
      <c r="P221" t="n">
        <v>0</v>
      </c>
      <c r="Q221" t="n">
        <v>1</v>
      </c>
      <c r="R221" s="2" t="inlineStr">
        <is>
          <t>Blåsippa</t>
        </is>
      </c>
      <c r="S221">
        <f>HYPERLINK("https://klasma.github.io/Logging_1882/artfynd/A 39575-2021 artfynd.xlsx", "A 39575-2021")</f>
        <v/>
      </c>
      <c r="T221">
        <f>HYPERLINK("https://klasma.github.io/Logging_1882/kartor/A 39575-2021 karta.png", "A 39575-2021")</f>
        <v/>
      </c>
      <c r="V221">
        <f>HYPERLINK("https://klasma.github.io/Logging_1882/klagomål/A 39575-2021 FSC-klagomål.docx", "A 39575-2021")</f>
        <v/>
      </c>
      <c r="W221">
        <f>HYPERLINK("https://klasma.github.io/Logging_1882/klagomålsmail/A 39575-2021 FSC-klagomål mail.docx", "A 39575-2021")</f>
        <v/>
      </c>
      <c r="X221">
        <f>HYPERLINK("https://klasma.github.io/Logging_1882/tillsyn/A 39575-2021 tillsynsbegäran.docx", "A 39575-2021")</f>
        <v/>
      </c>
      <c r="Y221">
        <f>HYPERLINK("https://klasma.github.io/Logging_1882/tillsynsmail/A 39575-2021 tillsynsbegäran mail.docx", "A 39575-2021")</f>
        <v/>
      </c>
    </row>
    <row r="222" ht="15" customHeight="1">
      <c r="A222" t="inlineStr">
        <is>
          <t>A 48684-2021</t>
        </is>
      </c>
      <c r="B222" s="1" t="n">
        <v>44452</v>
      </c>
      <c r="C222" s="1" t="n">
        <v>45952</v>
      </c>
      <c r="D222" t="inlineStr">
        <is>
          <t>ÖREBRO LÄN</t>
        </is>
      </c>
      <c r="E222" t="inlineStr">
        <is>
          <t>ASKERSUND</t>
        </is>
      </c>
      <c r="G222" t="n">
        <v>1.4</v>
      </c>
      <c r="H222" t="n">
        <v>1</v>
      </c>
      <c r="I222" t="n">
        <v>0</v>
      </c>
      <c r="J222" t="n">
        <v>1</v>
      </c>
      <c r="K222" t="n">
        <v>0</v>
      </c>
      <c r="L222" t="n">
        <v>0</v>
      </c>
      <c r="M222" t="n">
        <v>0</v>
      </c>
      <c r="N222" t="n">
        <v>0</v>
      </c>
      <c r="O222" t="n">
        <v>1</v>
      </c>
      <c r="P222" t="n">
        <v>0</v>
      </c>
      <c r="Q222" t="n">
        <v>1</v>
      </c>
      <c r="R222" s="2" t="inlineStr">
        <is>
          <t>Utter</t>
        </is>
      </c>
      <c r="S222">
        <f>HYPERLINK("https://klasma.github.io/Logging_1882/artfynd/A 48684-2021 artfynd.xlsx", "A 48684-2021")</f>
        <v/>
      </c>
      <c r="T222">
        <f>HYPERLINK("https://klasma.github.io/Logging_1882/kartor/A 48684-2021 karta.png", "A 48684-2021")</f>
        <v/>
      </c>
      <c r="V222">
        <f>HYPERLINK("https://klasma.github.io/Logging_1882/klagomål/A 48684-2021 FSC-klagomål.docx", "A 48684-2021")</f>
        <v/>
      </c>
      <c r="W222">
        <f>HYPERLINK("https://klasma.github.io/Logging_1882/klagomålsmail/A 48684-2021 FSC-klagomål mail.docx", "A 48684-2021")</f>
        <v/>
      </c>
      <c r="X222">
        <f>HYPERLINK("https://klasma.github.io/Logging_1882/tillsyn/A 48684-2021 tillsynsbegäran.docx", "A 48684-2021")</f>
        <v/>
      </c>
      <c r="Y222">
        <f>HYPERLINK("https://klasma.github.io/Logging_1882/tillsynsmail/A 48684-2021 tillsynsbegäran mail.docx", "A 48684-2021")</f>
        <v/>
      </c>
    </row>
    <row r="223" ht="15" customHeight="1">
      <c r="A223" t="inlineStr">
        <is>
          <t>A 56068-2021</t>
        </is>
      </c>
      <c r="B223" s="1" t="n">
        <v>44477</v>
      </c>
      <c r="C223" s="1" t="n">
        <v>45952</v>
      </c>
      <c r="D223" t="inlineStr">
        <is>
          <t>ÖREBRO LÄN</t>
        </is>
      </c>
      <c r="E223" t="inlineStr">
        <is>
          <t>HALLSBERG</t>
        </is>
      </c>
      <c r="G223" t="n">
        <v>7.7</v>
      </c>
      <c r="H223" t="n">
        <v>1</v>
      </c>
      <c r="I223" t="n">
        <v>0</v>
      </c>
      <c r="J223" t="n">
        <v>0</v>
      </c>
      <c r="K223" t="n">
        <v>0</v>
      </c>
      <c r="L223" t="n">
        <v>0</v>
      </c>
      <c r="M223" t="n">
        <v>0</v>
      </c>
      <c r="N223" t="n">
        <v>0</v>
      </c>
      <c r="O223" t="n">
        <v>0</v>
      </c>
      <c r="P223" t="n">
        <v>0</v>
      </c>
      <c r="Q223" t="n">
        <v>1</v>
      </c>
      <c r="R223" s="2" t="inlineStr">
        <is>
          <t>Huggorm</t>
        </is>
      </c>
      <c r="S223">
        <f>HYPERLINK("https://klasma.github.io/Logging_1861/artfynd/A 56068-2021 artfynd.xlsx", "A 56068-2021")</f>
        <v/>
      </c>
      <c r="T223">
        <f>HYPERLINK("https://klasma.github.io/Logging_1861/kartor/A 56068-2021 karta.png", "A 56068-2021")</f>
        <v/>
      </c>
      <c r="V223">
        <f>HYPERLINK("https://klasma.github.io/Logging_1861/klagomål/A 56068-2021 FSC-klagomål.docx", "A 56068-2021")</f>
        <v/>
      </c>
      <c r="W223">
        <f>HYPERLINK("https://klasma.github.io/Logging_1861/klagomålsmail/A 56068-2021 FSC-klagomål mail.docx", "A 56068-2021")</f>
        <v/>
      </c>
      <c r="X223">
        <f>HYPERLINK("https://klasma.github.io/Logging_1861/tillsyn/A 56068-2021 tillsynsbegäran.docx", "A 56068-2021")</f>
        <v/>
      </c>
      <c r="Y223">
        <f>HYPERLINK("https://klasma.github.io/Logging_1861/tillsynsmail/A 56068-2021 tillsynsbegäran mail.docx", "A 56068-2021")</f>
        <v/>
      </c>
    </row>
    <row r="224" ht="15" customHeight="1">
      <c r="A224" t="inlineStr">
        <is>
          <t>A 50765-2022</t>
        </is>
      </c>
      <c r="B224" s="1" t="n">
        <v>44867.42446759259</v>
      </c>
      <c r="C224" s="1" t="n">
        <v>45952</v>
      </c>
      <c r="D224" t="inlineStr">
        <is>
          <t>ÖREBRO LÄN</t>
        </is>
      </c>
      <c r="E224" t="inlineStr">
        <is>
          <t>LAXÅ</t>
        </is>
      </c>
      <c r="F224" t="inlineStr">
        <is>
          <t>Sveaskog</t>
        </is>
      </c>
      <c r="G224" t="n">
        <v>2.9</v>
      </c>
      <c r="H224" t="n">
        <v>0</v>
      </c>
      <c r="I224" t="n">
        <v>1</v>
      </c>
      <c r="J224" t="n">
        <v>0</v>
      </c>
      <c r="K224" t="n">
        <v>0</v>
      </c>
      <c r="L224" t="n">
        <v>0</v>
      </c>
      <c r="M224" t="n">
        <v>0</v>
      </c>
      <c r="N224" t="n">
        <v>0</v>
      </c>
      <c r="O224" t="n">
        <v>0</v>
      </c>
      <c r="P224" t="n">
        <v>0</v>
      </c>
      <c r="Q224" t="n">
        <v>1</v>
      </c>
      <c r="R224" s="2" t="inlineStr">
        <is>
          <t>Fjällig taggsvamp s.str.</t>
        </is>
      </c>
      <c r="S224">
        <f>HYPERLINK("https://klasma.github.io/Logging_1860/artfynd/A 50765-2022 artfynd.xlsx", "A 50765-2022")</f>
        <v/>
      </c>
      <c r="T224">
        <f>HYPERLINK("https://klasma.github.io/Logging_1860/kartor/A 50765-2022 karta.png", "A 50765-2022")</f>
        <v/>
      </c>
      <c r="V224">
        <f>HYPERLINK("https://klasma.github.io/Logging_1860/klagomål/A 50765-2022 FSC-klagomål.docx", "A 50765-2022")</f>
        <v/>
      </c>
      <c r="W224">
        <f>HYPERLINK("https://klasma.github.io/Logging_1860/klagomålsmail/A 50765-2022 FSC-klagomål mail.docx", "A 50765-2022")</f>
        <v/>
      </c>
      <c r="X224">
        <f>HYPERLINK("https://klasma.github.io/Logging_1860/tillsyn/A 50765-2022 tillsynsbegäran.docx", "A 50765-2022")</f>
        <v/>
      </c>
      <c r="Y224">
        <f>HYPERLINK("https://klasma.github.io/Logging_1860/tillsynsmail/A 50765-2022 tillsynsbegäran mail.docx", "A 50765-2022")</f>
        <v/>
      </c>
    </row>
    <row r="225" ht="15" customHeight="1">
      <c r="A225" t="inlineStr">
        <is>
          <t>A 24567-2021</t>
        </is>
      </c>
      <c r="B225" s="1" t="n">
        <v>44339.70040509259</v>
      </c>
      <c r="C225" s="1" t="n">
        <v>45952</v>
      </c>
      <c r="D225" t="inlineStr">
        <is>
          <t>ÖREBRO LÄN</t>
        </is>
      </c>
      <c r="E225" t="inlineStr">
        <is>
          <t>NORA</t>
        </is>
      </c>
      <c r="G225" t="n">
        <v>3.1</v>
      </c>
      <c r="H225" t="n">
        <v>0</v>
      </c>
      <c r="I225" t="n">
        <v>1</v>
      </c>
      <c r="J225" t="n">
        <v>0</v>
      </c>
      <c r="K225" t="n">
        <v>0</v>
      </c>
      <c r="L225" t="n">
        <v>0</v>
      </c>
      <c r="M225" t="n">
        <v>0</v>
      </c>
      <c r="N225" t="n">
        <v>0</v>
      </c>
      <c r="O225" t="n">
        <v>0</v>
      </c>
      <c r="P225" t="n">
        <v>0</v>
      </c>
      <c r="Q225" t="n">
        <v>1</v>
      </c>
      <c r="R225" s="2" t="inlineStr">
        <is>
          <t>Thomsons trägnagare</t>
        </is>
      </c>
      <c r="S225">
        <f>HYPERLINK("https://klasma.github.io/Logging_1884/artfynd/A 24567-2021 artfynd.xlsx", "A 24567-2021")</f>
        <v/>
      </c>
      <c r="T225">
        <f>HYPERLINK("https://klasma.github.io/Logging_1884/kartor/A 24567-2021 karta.png", "A 24567-2021")</f>
        <v/>
      </c>
      <c r="V225">
        <f>HYPERLINK("https://klasma.github.io/Logging_1884/klagomål/A 24567-2021 FSC-klagomål.docx", "A 24567-2021")</f>
        <v/>
      </c>
      <c r="W225">
        <f>HYPERLINK("https://klasma.github.io/Logging_1884/klagomålsmail/A 24567-2021 FSC-klagomål mail.docx", "A 24567-2021")</f>
        <v/>
      </c>
      <c r="X225">
        <f>HYPERLINK("https://klasma.github.io/Logging_1884/tillsyn/A 24567-2021 tillsynsbegäran.docx", "A 24567-2021")</f>
        <v/>
      </c>
      <c r="Y225">
        <f>HYPERLINK("https://klasma.github.io/Logging_1884/tillsynsmail/A 24567-2021 tillsynsbegäran mail.docx", "A 24567-2021")</f>
        <v/>
      </c>
    </row>
    <row r="226" ht="15" customHeight="1">
      <c r="A226" t="inlineStr">
        <is>
          <t>A 4943-2022</t>
        </is>
      </c>
      <c r="B226" s="1" t="n">
        <v>44593</v>
      </c>
      <c r="C226" s="1" t="n">
        <v>45952</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HYPERLINK("https://klasma.github.io/Logging_1880/artfynd/A 4943-2022 artfynd.xlsx", "A 4943-2022")</f>
        <v/>
      </c>
      <c r="T226">
        <f>HYPERLINK("https://klasma.github.io/Logging_1880/kartor/A 4943-2022 karta.png", "A 4943-2022")</f>
        <v/>
      </c>
      <c r="V226">
        <f>HYPERLINK("https://klasma.github.io/Logging_1880/klagomål/A 4943-2022 FSC-klagomål.docx", "A 4943-2022")</f>
        <v/>
      </c>
      <c r="W226">
        <f>HYPERLINK("https://klasma.github.io/Logging_1880/klagomålsmail/A 4943-2022 FSC-klagomål mail.docx", "A 4943-2022")</f>
        <v/>
      </c>
      <c r="X226">
        <f>HYPERLINK("https://klasma.github.io/Logging_1880/tillsyn/A 4943-2022 tillsynsbegäran.docx", "A 4943-2022")</f>
        <v/>
      </c>
      <c r="Y226">
        <f>HYPERLINK("https://klasma.github.io/Logging_1880/tillsynsmail/A 4943-2022 tillsynsbegäran mail.docx", "A 4943-2022")</f>
        <v/>
      </c>
    </row>
    <row r="227" ht="15" customHeight="1">
      <c r="A227" t="inlineStr">
        <is>
          <t>A 17563-2022</t>
        </is>
      </c>
      <c r="B227" s="1" t="n">
        <v>44679</v>
      </c>
      <c r="C227" s="1" t="n">
        <v>45952</v>
      </c>
      <c r="D227" t="inlineStr">
        <is>
          <t>ÖREBRO LÄN</t>
        </is>
      </c>
      <c r="E227" t="inlineStr">
        <is>
          <t>LINDESBERG</t>
        </is>
      </c>
      <c r="G227" t="n">
        <v>1.4</v>
      </c>
      <c r="H227" t="n">
        <v>1</v>
      </c>
      <c r="I227" t="n">
        <v>0</v>
      </c>
      <c r="J227" t="n">
        <v>1</v>
      </c>
      <c r="K227" t="n">
        <v>0</v>
      </c>
      <c r="L227" t="n">
        <v>0</v>
      </c>
      <c r="M227" t="n">
        <v>0</v>
      </c>
      <c r="N227" t="n">
        <v>0</v>
      </c>
      <c r="O227" t="n">
        <v>1</v>
      </c>
      <c r="P227" t="n">
        <v>0</v>
      </c>
      <c r="Q227" t="n">
        <v>1</v>
      </c>
      <c r="R227" s="2" t="inlineStr">
        <is>
          <t>Fjällvråk</t>
        </is>
      </c>
      <c r="S227">
        <f>HYPERLINK("https://klasma.github.io/Logging_1885/artfynd/A 17563-2022 artfynd.xlsx", "A 17563-2022")</f>
        <v/>
      </c>
      <c r="T227">
        <f>HYPERLINK("https://klasma.github.io/Logging_1885/kartor/A 17563-2022 karta.png", "A 17563-2022")</f>
        <v/>
      </c>
      <c r="V227">
        <f>HYPERLINK("https://klasma.github.io/Logging_1885/klagomål/A 17563-2022 FSC-klagomål.docx", "A 17563-2022")</f>
        <v/>
      </c>
      <c r="W227">
        <f>HYPERLINK("https://klasma.github.io/Logging_1885/klagomålsmail/A 17563-2022 FSC-klagomål mail.docx", "A 17563-2022")</f>
        <v/>
      </c>
      <c r="X227">
        <f>HYPERLINK("https://klasma.github.io/Logging_1885/tillsyn/A 17563-2022 tillsynsbegäran.docx", "A 17563-2022")</f>
        <v/>
      </c>
      <c r="Y227">
        <f>HYPERLINK("https://klasma.github.io/Logging_1885/tillsynsmail/A 17563-2022 tillsynsbegäran mail.docx", "A 17563-2022")</f>
        <v/>
      </c>
      <c r="Z227">
        <f>HYPERLINK("https://klasma.github.io/Logging_1885/fåglar/A 17563-2022 prioriterade fågelarter.docx", "A 17563-2022")</f>
        <v/>
      </c>
    </row>
    <row r="228" ht="15" customHeight="1">
      <c r="A228" t="inlineStr">
        <is>
          <t>A 6926-2021</t>
        </is>
      </c>
      <c r="B228" s="1" t="n">
        <v>44237</v>
      </c>
      <c r="C228" s="1" t="n">
        <v>45952</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21181-2021</t>
        </is>
      </c>
      <c r="B229" s="1" t="n">
        <v>44320</v>
      </c>
      <c r="C229" s="1" t="n">
        <v>45952</v>
      </c>
      <c r="D229" t="inlineStr">
        <is>
          <t>ÖREBRO LÄN</t>
        </is>
      </c>
      <c r="E229" t="inlineStr">
        <is>
          <t>LINDESBERG</t>
        </is>
      </c>
      <c r="F229" t="inlineStr">
        <is>
          <t>Kommuner</t>
        </is>
      </c>
      <c r="G229" t="n">
        <v>1.1</v>
      </c>
      <c r="H229" t="n">
        <v>1</v>
      </c>
      <c r="I229" t="n">
        <v>0</v>
      </c>
      <c r="J229" t="n">
        <v>0</v>
      </c>
      <c r="K229" t="n">
        <v>0</v>
      </c>
      <c r="L229" t="n">
        <v>1</v>
      </c>
      <c r="M229" t="n">
        <v>0</v>
      </c>
      <c r="N229" t="n">
        <v>0</v>
      </c>
      <c r="O229" t="n">
        <v>1</v>
      </c>
      <c r="P229" t="n">
        <v>1</v>
      </c>
      <c r="Q229" t="n">
        <v>1</v>
      </c>
      <c r="R229" s="2" t="inlineStr">
        <is>
          <t>Asknätfjäril</t>
        </is>
      </c>
      <c r="S229">
        <f>HYPERLINK("https://klasma.github.io/Logging_1885/artfynd/A 21181-2021 artfynd.xlsx", "A 21181-2021")</f>
        <v/>
      </c>
      <c r="T229">
        <f>HYPERLINK("https://klasma.github.io/Logging_1885/kartor/A 21181-2021 karta.png", "A 21181-2021")</f>
        <v/>
      </c>
      <c r="V229">
        <f>HYPERLINK("https://klasma.github.io/Logging_1885/klagomål/A 21181-2021 FSC-klagomål.docx", "A 21181-2021")</f>
        <v/>
      </c>
      <c r="W229">
        <f>HYPERLINK("https://klasma.github.io/Logging_1885/klagomålsmail/A 21181-2021 FSC-klagomål mail.docx", "A 21181-2021")</f>
        <v/>
      </c>
      <c r="X229">
        <f>HYPERLINK("https://klasma.github.io/Logging_1885/tillsyn/A 21181-2021 tillsynsbegäran.docx", "A 21181-2021")</f>
        <v/>
      </c>
      <c r="Y229">
        <f>HYPERLINK("https://klasma.github.io/Logging_1885/tillsynsmail/A 21181-2021 tillsynsbegäran mail.docx", "A 21181-2021")</f>
        <v/>
      </c>
    </row>
    <row r="230" ht="15" customHeight="1">
      <c r="A230" t="inlineStr">
        <is>
          <t>A 13408-2025</t>
        </is>
      </c>
      <c r="B230" s="1" t="n">
        <v>45735.86130787037</v>
      </c>
      <c r="C230" s="1" t="n">
        <v>45952</v>
      </c>
      <c r="D230" t="inlineStr">
        <is>
          <t>ÖREBRO LÄN</t>
        </is>
      </c>
      <c r="E230" t="inlineStr">
        <is>
          <t>ASKERSUND</t>
        </is>
      </c>
      <c r="G230" t="n">
        <v>13.3</v>
      </c>
      <c r="H230" t="n">
        <v>1</v>
      </c>
      <c r="I230" t="n">
        <v>0</v>
      </c>
      <c r="J230" t="n">
        <v>0</v>
      </c>
      <c r="K230" t="n">
        <v>0</v>
      </c>
      <c r="L230" t="n">
        <v>0</v>
      </c>
      <c r="M230" t="n">
        <v>0</v>
      </c>
      <c r="N230" t="n">
        <v>0</v>
      </c>
      <c r="O230" t="n">
        <v>0</v>
      </c>
      <c r="P230" t="n">
        <v>0</v>
      </c>
      <c r="Q230" t="n">
        <v>1</v>
      </c>
      <c r="R230" s="2" t="inlineStr">
        <is>
          <t>Hasselmus</t>
        </is>
      </c>
      <c r="S230">
        <f>HYPERLINK("https://klasma.github.io/Logging_1882/artfynd/A 13408-2025 artfynd.xlsx", "A 13408-2025")</f>
        <v/>
      </c>
      <c r="T230">
        <f>HYPERLINK("https://klasma.github.io/Logging_1882/kartor/A 13408-2025 karta.png", "A 13408-2025")</f>
        <v/>
      </c>
      <c r="V230">
        <f>HYPERLINK("https://klasma.github.io/Logging_1882/klagomål/A 13408-2025 FSC-klagomål.docx", "A 13408-2025")</f>
        <v/>
      </c>
      <c r="W230">
        <f>HYPERLINK("https://klasma.github.io/Logging_1882/klagomålsmail/A 13408-2025 FSC-klagomål mail.docx", "A 13408-2025")</f>
        <v/>
      </c>
      <c r="X230">
        <f>HYPERLINK("https://klasma.github.io/Logging_1882/tillsyn/A 13408-2025 tillsynsbegäran.docx", "A 13408-2025")</f>
        <v/>
      </c>
      <c r="Y230">
        <f>HYPERLINK("https://klasma.github.io/Logging_1882/tillsynsmail/A 13408-2025 tillsynsbegäran mail.docx", "A 13408-2025")</f>
        <v/>
      </c>
    </row>
    <row r="231" ht="15" customHeight="1">
      <c r="A231" t="inlineStr">
        <is>
          <t>A 24188-2024</t>
        </is>
      </c>
      <c r="B231" s="1" t="n">
        <v>45456.9100925926</v>
      </c>
      <c r="C231" s="1" t="n">
        <v>45952</v>
      </c>
      <c r="D231" t="inlineStr">
        <is>
          <t>ÖREBRO LÄN</t>
        </is>
      </c>
      <c r="E231" t="inlineStr">
        <is>
          <t>KARLSKOGA</t>
        </is>
      </c>
      <c r="F231" t="inlineStr">
        <is>
          <t>Sveaskog</t>
        </is>
      </c>
      <c r="G231" t="n">
        <v>9</v>
      </c>
      <c r="H231" t="n">
        <v>0</v>
      </c>
      <c r="I231" t="n">
        <v>0</v>
      </c>
      <c r="J231" t="n">
        <v>1</v>
      </c>
      <c r="K231" t="n">
        <v>0</v>
      </c>
      <c r="L231" t="n">
        <v>0</v>
      </c>
      <c r="M231" t="n">
        <v>0</v>
      </c>
      <c r="N231" t="n">
        <v>0</v>
      </c>
      <c r="O231" t="n">
        <v>1</v>
      </c>
      <c r="P231" t="n">
        <v>0</v>
      </c>
      <c r="Q231" t="n">
        <v>1</v>
      </c>
      <c r="R231" s="2" t="inlineStr">
        <is>
          <t>Garnlav</t>
        </is>
      </c>
      <c r="S231">
        <f>HYPERLINK("https://klasma.github.io/Logging_1883/artfynd/A 24188-2024 artfynd.xlsx", "A 24188-2024")</f>
        <v/>
      </c>
      <c r="T231">
        <f>HYPERLINK("https://klasma.github.io/Logging_1883/kartor/A 24188-2024 karta.png", "A 24188-2024")</f>
        <v/>
      </c>
      <c r="V231">
        <f>HYPERLINK("https://klasma.github.io/Logging_1883/klagomål/A 24188-2024 FSC-klagomål.docx", "A 24188-2024")</f>
        <v/>
      </c>
      <c r="W231">
        <f>HYPERLINK("https://klasma.github.io/Logging_1883/klagomålsmail/A 24188-2024 FSC-klagomål mail.docx", "A 24188-2024")</f>
        <v/>
      </c>
      <c r="X231">
        <f>HYPERLINK("https://klasma.github.io/Logging_1883/tillsyn/A 24188-2024 tillsynsbegäran.docx", "A 24188-2024")</f>
        <v/>
      </c>
      <c r="Y231">
        <f>HYPERLINK("https://klasma.github.io/Logging_1883/tillsynsmail/A 24188-2024 tillsynsbegäran mail.docx", "A 24188-2024")</f>
        <v/>
      </c>
    </row>
    <row r="232" ht="15" customHeight="1">
      <c r="A232" t="inlineStr">
        <is>
          <t>A 33286-2024</t>
        </is>
      </c>
      <c r="B232" s="1" t="n">
        <v>45518</v>
      </c>
      <c r="C232" s="1" t="n">
        <v>45952</v>
      </c>
      <c r="D232" t="inlineStr">
        <is>
          <t>ÖREBRO LÄN</t>
        </is>
      </c>
      <c r="E232" t="inlineStr">
        <is>
          <t>LINDESBERG</t>
        </is>
      </c>
      <c r="F232" t="inlineStr">
        <is>
          <t>Sveaskog</t>
        </is>
      </c>
      <c r="G232" t="n">
        <v>2.1</v>
      </c>
      <c r="H232" t="n">
        <v>0</v>
      </c>
      <c r="I232" t="n">
        <v>1</v>
      </c>
      <c r="J232" t="n">
        <v>0</v>
      </c>
      <c r="K232" t="n">
        <v>0</v>
      </c>
      <c r="L232" t="n">
        <v>0</v>
      </c>
      <c r="M232" t="n">
        <v>0</v>
      </c>
      <c r="N232" t="n">
        <v>0</v>
      </c>
      <c r="O232" t="n">
        <v>0</v>
      </c>
      <c r="P232" t="n">
        <v>0</v>
      </c>
      <c r="Q232" t="n">
        <v>1</v>
      </c>
      <c r="R232" s="2" t="inlineStr">
        <is>
          <t>Vedticka</t>
        </is>
      </c>
      <c r="S232">
        <f>HYPERLINK("https://klasma.github.io/Logging_1885/artfynd/A 33286-2024 artfynd.xlsx", "A 33286-2024")</f>
        <v/>
      </c>
      <c r="T232">
        <f>HYPERLINK("https://klasma.github.io/Logging_1885/kartor/A 33286-2024 karta.png", "A 33286-2024")</f>
        <v/>
      </c>
      <c r="V232">
        <f>HYPERLINK("https://klasma.github.io/Logging_1885/klagomål/A 33286-2024 FSC-klagomål.docx", "A 33286-2024")</f>
        <v/>
      </c>
      <c r="W232">
        <f>HYPERLINK("https://klasma.github.io/Logging_1885/klagomålsmail/A 33286-2024 FSC-klagomål mail.docx", "A 33286-2024")</f>
        <v/>
      </c>
      <c r="X232">
        <f>HYPERLINK("https://klasma.github.io/Logging_1885/tillsyn/A 33286-2024 tillsynsbegäran.docx", "A 33286-2024")</f>
        <v/>
      </c>
      <c r="Y232">
        <f>HYPERLINK("https://klasma.github.io/Logging_1885/tillsynsmail/A 33286-2024 tillsynsbegäran mail.docx", "A 33286-2024")</f>
        <v/>
      </c>
    </row>
    <row r="233" ht="15" customHeight="1">
      <c r="A233" t="inlineStr">
        <is>
          <t>A 2066-2021</t>
        </is>
      </c>
      <c r="B233" s="1" t="n">
        <v>44211</v>
      </c>
      <c r="C233" s="1" t="n">
        <v>45952</v>
      </c>
      <c r="D233" t="inlineStr">
        <is>
          <t>ÖREBRO LÄN</t>
        </is>
      </c>
      <c r="E233" t="inlineStr">
        <is>
          <t>NORA</t>
        </is>
      </c>
      <c r="F233" t="inlineStr">
        <is>
          <t>Sveaskog</t>
        </is>
      </c>
      <c r="G233" t="n">
        <v>1.6</v>
      </c>
      <c r="H233" t="n">
        <v>1</v>
      </c>
      <c r="I233" t="n">
        <v>0</v>
      </c>
      <c r="J233" t="n">
        <v>0</v>
      </c>
      <c r="K233" t="n">
        <v>0</v>
      </c>
      <c r="L233" t="n">
        <v>0</v>
      </c>
      <c r="M233" t="n">
        <v>0</v>
      </c>
      <c r="N233" t="n">
        <v>0</v>
      </c>
      <c r="O233" t="n">
        <v>0</v>
      </c>
      <c r="P233" t="n">
        <v>0</v>
      </c>
      <c r="Q233" t="n">
        <v>1</v>
      </c>
      <c r="R233" s="2" t="inlineStr">
        <is>
          <t>Vanlig groda</t>
        </is>
      </c>
      <c r="S233">
        <f>HYPERLINK("https://klasma.github.io/Logging_1884/artfynd/A 2066-2021 artfynd.xlsx", "A 2066-2021")</f>
        <v/>
      </c>
      <c r="T233">
        <f>HYPERLINK("https://klasma.github.io/Logging_1884/kartor/A 2066-2021 karta.png", "A 2066-2021")</f>
        <v/>
      </c>
      <c r="V233">
        <f>HYPERLINK("https://klasma.github.io/Logging_1884/klagomål/A 2066-2021 FSC-klagomål.docx", "A 2066-2021")</f>
        <v/>
      </c>
      <c r="W233">
        <f>HYPERLINK("https://klasma.github.io/Logging_1884/klagomålsmail/A 2066-2021 FSC-klagomål mail.docx", "A 2066-2021")</f>
        <v/>
      </c>
      <c r="X233">
        <f>HYPERLINK("https://klasma.github.io/Logging_1884/tillsyn/A 2066-2021 tillsynsbegäran.docx", "A 2066-2021")</f>
        <v/>
      </c>
      <c r="Y233">
        <f>HYPERLINK("https://klasma.github.io/Logging_1884/tillsynsmail/A 2066-2021 tillsynsbegäran mail.docx", "A 2066-2021")</f>
        <v/>
      </c>
    </row>
    <row r="234" ht="15" customHeight="1">
      <c r="A234" t="inlineStr">
        <is>
          <t>A 26328-2021</t>
        </is>
      </c>
      <c r="B234" s="1" t="n">
        <v>44347</v>
      </c>
      <c r="C234" s="1" t="n">
        <v>45952</v>
      </c>
      <c r="D234" t="inlineStr">
        <is>
          <t>ÖREBRO LÄN</t>
        </is>
      </c>
      <c r="E234" t="inlineStr">
        <is>
          <t>NORA</t>
        </is>
      </c>
      <c r="G234" t="n">
        <v>5.7</v>
      </c>
      <c r="H234" t="n">
        <v>1</v>
      </c>
      <c r="I234" t="n">
        <v>0</v>
      </c>
      <c r="J234" t="n">
        <v>0</v>
      </c>
      <c r="K234" t="n">
        <v>0</v>
      </c>
      <c r="L234" t="n">
        <v>0</v>
      </c>
      <c r="M234" t="n">
        <v>0</v>
      </c>
      <c r="N234" t="n">
        <v>0</v>
      </c>
      <c r="O234" t="n">
        <v>0</v>
      </c>
      <c r="P234" t="n">
        <v>0</v>
      </c>
      <c r="Q234" t="n">
        <v>1</v>
      </c>
      <c r="R234" s="2" t="inlineStr">
        <is>
          <t>Blåsippa</t>
        </is>
      </c>
      <c r="S234">
        <f>HYPERLINK("https://klasma.github.io/Logging_1884/artfynd/A 26328-2021 artfynd.xlsx", "A 26328-2021")</f>
        <v/>
      </c>
      <c r="T234">
        <f>HYPERLINK("https://klasma.github.io/Logging_1884/kartor/A 26328-2021 karta.png", "A 26328-2021")</f>
        <v/>
      </c>
      <c r="V234">
        <f>HYPERLINK("https://klasma.github.io/Logging_1884/klagomål/A 26328-2021 FSC-klagomål.docx", "A 26328-2021")</f>
        <v/>
      </c>
      <c r="W234">
        <f>HYPERLINK("https://klasma.github.io/Logging_1884/klagomålsmail/A 26328-2021 FSC-klagomål mail.docx", "A 26328-2021")</f>
        <v/>
      </c>
      <c r="X234">
        <f>HYPERLINK("https://klasma.github.io/Logging_1884/tillsyn/A 26328-2021 tillsynsbegäran.docx", "A 26328-2021")</f>
        <v/>
      </c>
      <c r="Y234">
        <f>HYPERLINK("https://klasma.github.io/Logging_1884/tillsynsmail/A 26328-2021 tillsynsbegäran mail.docx", "A 26328-2021")</f>
        <v/>
      </c>
    </row>
    <row r="235" ht="15" customHeight="1">
      <c r="A235" t="inlineStr">
        <is>
          <t>A 66339-2021</t>
        </is>
      </c>
      <c r="B235" s="1" t="n">
        <v>44518</v>
      </c>
      <c r="C235" s="1" t="n">
        <v>45952</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43332-2022</t>
        </is>
      </c>
      <c r="B236" s="1" t="n">
        <v>44834</v>
      </c>
      <c r="C236" s="1" t="n">
        <v>45952</v>
      </c>
      <c r="D236" t="inlineStr">
        <is>
          <t>ÖREBRO LÄN</t>
        </is>
      </c>
      <c r="E236" t="inlineStr">
        <is>
          <t>ÖREBRO</t>
        </is>
      </c>
      <c r="G236" t="n">
        <v>2.3</v>
      </c>
      <c r="H236" t="n">
        <v>1</v>
      </c>
      <c r="I236" t="n">
        <v>0</v>
      </c>
      <c r="J236" t="n">
        <v>1</v>
      </c>
      <c r="K236" t="n">
        <v>0</v>
      </c>
      <c r="L236" t="n">
        <v>0</v>
      </c>
      <c r="M236" t="n">
        <v>0</v>
      </c>
      <c r="N236" t="n">
        <v>0</v>
      </c>
      <c r="O236" t="n">
        <v>1</v>
      </c>
      <c r="P236" t="n">
        <v>0</v>
      </c>
      <c r="Q236" t="n">
        <v>1</v>
      </c>
      <c r="R236" s="2" t="inlineStr">
        <is>
          <t>Spillkråka</t>
        </is>
      </c>
      <c r="S236">
        <f>HYPERLINK("https://klasma.github.io/Logging_1880/artfynd/A 43332-2022 artfynd.xlsx", "A 43332-2022")</f>
        <v/>
      </c>
      <c r="T236">
        <f>HYPERLINK("https://klasma.github.io/Logging_1880/kartor/A 43332-2022 karta.png", "A 43332-2022")</f>
        <v/>
      </c>
      <c r="V236">
        <f>HYPERLINK("https://klasma.github.io/Logging_1880/klagomål/A 43332-2022 FSC-klagomål.docx", "A 43332-2022")</f>
        <v/>
      </c>
      <c r="W236">
        <f>HYPERLINK("https://klasma.github.io/Logging_1880/klagomålsmail/A 43332-2022 FSC-klagomål mail.docx", "A 43332-2022")</f>
        <v/>
      </c>
      <c r="X236">
        <f>HYPERLINK("https://klasma.github.io/Logging_1880/tillsyn/A 43332-2022 tillsynsbegäran.docx", "A 43332-2022")</f>
        <v/>
      </c>
      <c r="Y236">
        <f>HYPERLINK("https://klasma.github.io/Logging_1880/tillsynsmail/A 43332-2022 tillsynsbegäran mail.docx", "A 43332-2022")</f>
        <v/>
      </c>
      <c r="Z236">
        <f>HYPERLINK("https://klasma.github.io/Logging_1880/fåglar/A 43332-2022 prioriterade fågelarter.docx", "A 43332-2022")</f>
        <v/>
      </c>
    </row>
    <row r="237" ht="15" customHeight="1">
      <c r="A237" t="inlineStr">
        <is>
          <t>A 20032-2023</t>
        </is>
      </c>
      <c r="B237" s="1" t="n">
        <v>45054</v>
      </c>
      <c r="C237" s="1" t="n">
        <v>45952</v>
      </c>
      <c r="D237" t="inlineStr">
        <is>
          <t>ÖREBRO LÄN</t>
        </is>
      </c>
      <c r="E237" t="inlineStr">
        <is>
          <t>ÖREBRO</t>
        </is>
      </c>
      <c r="G237" t="n">
        <v>2.6</v>
      </c>
      <c r="H237" t="n">
        <v>1</v>
      </c>
      <c r="I237" t="n">
        <v>0</v>
      </c>
      <c r="J237" t="n">
        <v>0</v>
      </c>
      <c r="K237" t="n">
        <v>0</v>
      </c>
      <c r="L237" t="n">
        <v>0</v>
      </c>
      <c r="M237" t="n">
        <v>0</v>
      </c>
      <c r="N237" t="n">
        <v>0</v>
      </c>
      <c r="O237" t="n">
        <v>0</v>
      </c>
      <c r="P237" t="n">
        <v>0</v>
      </c>
      <c r="Q237" t="n">
        <v>1</v>
      </c>
      <c r="R237" s="2" t="inlineStr">
        <is>
          <t>Fiskgjuse</t>
        </is>
      </c>
      <c r="S237">
        <f>HYPERLINK("https://klasma.github.io/Logging_1880/artfynd/A 20032-2023 artfynd.xlsx", "A 20032-2023")</f>
        <v/>
      </c>
      <c r="T237">
        <f>HYPERLINK("https://klasma.github.io/Logging_1880/kartor/A 20032-2023 karta.png", "A 20032-2023")</f>
        <v/>
      </c>
      <c r="V237">
        <f>HYPERLINK("https://klasma.github.io/Logging_1880/klagomål/A 20032-2023 FSC-klagomål.docx", "A 20032-2023")</f>
        <v/>
      </c>
      <c r="W237">
        <f>HYPERLINK("https://klasma.github.io/Logging_1880/klagomålsmail/A 20032-2023 FSC-klagomål mail.docx", "A 20032-2023")</f>
        <v/>
      </c>
      <c r="X237">
        <f>HYPERLINK("https://klasma.github.io/Logging_1880/tillsyn/A 20032-2023 tillsynsbegäran.docx", "A 20032-2023")</f>
        <v/>
      </c>
      <c r="Y237">
        <f>HYPERLINK("https://klasma.github.io/Logging_1880/tillsynsmail/A 20032-2023 tillsynsbegäran mail.docx", "A 20032-2023")</f>
        <v/>
      </c>
      <c r="Z237">
        <f>HYPERLINK("https://klasma.github.io/Logging_1880/fåglar/A 20032-2023 prioriterade fågelarter.docx", "A 20032-2023")</f>
        <v/>
      </c>
    </row>
    <row r="238" ht="15" customHeight="1">
      <c r="A238" t="inlineStr">
        <is>
          <t>A 46325-2024</t>
        </is>
      </c>
      <c r="B238" s="1" t="n">
        <v>45581.85145833333</v>
      </c>
      <c r="C238" s="1" t="n">
        <v>45952</v>
      </c>
      <c r="D238" t="inlineStr">
        <is>
          <t>ÖREBRO LÄN</t>
        </is>
      </c>
      <c r="E238" t="inlineStr">
        <is>
          <t>HALLSBERG</t>
        </is>
      </c>
      <c r="F238" t="inlineStr">
        <is>
          <t>Övriga Aktiebolag</t>
        </is>
      </c>
      <c r="G238" t="n">
        <v>1.9</v>
      </c>
      <c r="H238" t="n">
        <v>1</v>
      </c>
      <c r="I238" t="n">
        <v>0</v>
      </c>
      <c r="J238" t="n">
        <v>0</v>
      </c>
      <c r="K238" t="n">
        <v>0</v>
      </c>
      <c r="L238" t="n">
        <v>0</v>
      </c>
      <c r="M238" t="n">
        <v>0</v>
      </c>
      <c r="N238" t="n">
        <v>0</v>
      </c>
      <c r="O238" t="n">
        <v>0</v>
      </c>
      <c r="P238" t="n">
        <v>0</v>
      </c>
      <c r="Q238" t="n">
        <v>1</v>
      </c>
      <c r="R238" s="2" t="inlineStr">
        <is>
          <t>Grönvit nattviol</t>
        </is>
      </c>
      <c r="S238">
        <f>HYPERLINK("https://klasma.github.io/Logging_1861/artfynd/A 46325-2024 artfynd.xlsx", "A 46325-2024")</f>
        <v/>
      </c>
      <c r="T238">
        <f>HYPERLINK("https://klasma.github.io/Logging_1861/kartor/A 46325-2024 karta.png", "A 46325-2024")</f>
        <v/>
      </c>
      <c r="V238">
        <f>HYPERLINK("https://klasma.github.io/Logging_1861/klagomål/A 46325-2024 FSC-klagomål.docx", "A 46325-2024")</f>
        <v/>
      </c>
      <c r="W238">
        <f>HYPERLINK("https://klasma.github.io/Logging_1861/klagomålsmail/A 46325-2024 FSC-klagomål mail.docx", "A 46325-2024")</f>
        <v/>
      </c>
      <c r="X238">
        <f>HYPERLINK("https://klasma.github.io/Logging_1861/tillsyn/A 46325-2024 tillsynsbegäran.docx", "A 46325-2024")</f>
        <v/>
      </c>
      <c r="Y238">
        <f>HYPERLINK("https://klasma.github.io/Logging_1861/tillsynsmail/A 46325-2024 tillsynsbegäran mail.docx", "A 46325-2024")</f>
        <v/>
      </c>
    </row>
    <row r="239" ht="15" customHeight="1">
      <c r="A239" t="inlineStr">
        <is>
          <t>A 47569-2022</t>
        </is>
      </c>
      <c r="B239" s="1" t="n">
        <v>44853</v>
      </c>
      <c r="C239" s="1" t="n">
        <v>45952</v>
      </c>
      <c r="D239" t="inlineStr">
        <is>
          <t>ÖREBRO LÄN</t>
        </is>
      </c>
      <c r="E239" t="inlineStr">
        <is>
          <t>DEGERFORS</t>
        </is>
      </c>
      <c r="G239" t="n">
        <v>2.5</v>
      </c>
      <c r="H239" t="n">
        <v>0</v>
      </c>
      <c r="I239" t="n">
        <v>0</v>
      </c>
      <c r="J239" t="n">
        <v>0</v>
      </c>
      <c r="K239" t="n">
        <v>1</v>
      </c>
      <c r="L239" t="n">
        <v>0</v>
      </c>
      <c r="M239" t="n">
        <v>0</v>
      </c>
      <c r="N239" t="n">
        <v>0</v>
      </c>
      <c r="O239" t="n">
        <v>1</v>
      </c>
      <c r="P239" t="n">
        <v>1</v>
      </c>
      <c r="Q239" t="n">
        <v>1</v>
      </c>
      <c r="R239" s="2" t="inlineStr">
        <is>
          <t>Färgginst</t>
        </is>
      </c>
      <c r="S239">
        <f>HYPERLINK("https://klasma.github.io/Logging_1862/artfynd/A 47569-2022 artfynd.xlsx", "A 47569-2022")</f>
        <v/>
      </c>
      <c r="T239">
        <f>HYPERLINK("https://klasma.github.io/Logging_1862/kartor/A 47569-2022 karta.png", "A 47569-2022")</f>
        <v/>
      </c>
      <c r="V239">
        <f>HYPERLINK("https://klasma.github.io/Logging_1862/klagomål/A 47569-2022 FSC-klagomål.docx", "A 47569-2022")</f>
        <v/>
      </c>
      <c r="W239">
        <f>HYPERLINK("https://klasma.github.io/Logging_1862/klagomålsmail/A 47569-2022 FSC-klagomål mail.docx", "A 47569-2022")</f>
        <v/>
      </c>
      <c r="X239">
        <f>HYPERLINK("https://klasma.github.io/Logging_1862/tillsyn/A 47569-2022 tillsynsbegäran.docx", "A 47569-2022")</f>
        <v/>
      </c>
      <c r="Y239">
        <f>HYPERLINK("https://klasma.github.io/Logging_1862/tillsynsmail/A 47569-2022 tillsynsbegäran mail.docx", "A 47569-2022")</f>
        <v/>
      </c>
    </row>
    <row r="240" ht="15" customHeight="1">
      <c r="A240" t="inlineStr">
        <is>
          <t>A 41834-2023</t>
        </is>
      </c>
      <c r="B240" s="1" t="n">
        <v>45176</v>
      </c>
      <c r="C240" s="1" t="n">
        <v>45952</v>
      </c>
      <c r="D240" t="inlineStr">
        <is>
          <t>ÖREBRO LÄN</t>
        </is>
      </c>
      <c r="E240" t="inlineStr">
        <is>
          <t>HÄLLEFORS</t>
        </is>
      </c>
      <c r="F240" t="inlineStr">
        <is>
          <t>Bergvik skog väst AB</t>
        </is>
      </c>
      <c r="G240" t="n">
        <v>3.4</v>
      </c>
      <c r="H240" t="n">
        <v>1</v>
      </c>
      <c r="I240" t="n">
        <v>1</v>
      </c>
      <c r="J240" t="n">
        <v>0</v>
      </c>
      <c r="K240" t="n">
        <v>0</v>
      </c>
      <c r="L240" t="n">
        <v>0</v>
      </c>
      <c r="M240" t="n">
        <v>0</v>
      </c>
      <c r="N240" t="n">
        <v>0</v>
      </c>
      <c r="O240" t="n">
        <v>0</v>
      </c>
      <c r="P240" t="n">
        <v>0</v>
      </c>
      <c r="Q240" t="n">
        <v>1</v>
      </c>
      <c r="R240" s="2" t="inlineStr">
        <is>
          <t>Plattlummer</t>
        </is>
      </c>
      <c r="S240">
        <f>HYPERLINK("https://klasma.github.io/Logging_1863/artfynd/A 41834-2023 artfynd.xlsx", "A 41834-2023")</f>
        <v/>
      </c>
      <c r="T240">
        <f>HYPERLINK("https://klasma.github.io/Logging_1863/kartor/A 41834-2023 karta.png", "A 41834-2023")</f>
        <v/>
      </c>
      <c r="V240">
        <f>HYPERLINK("https://klasma.github.io/Logging_1863/klagomål/A 41834-2023 FSC-klagomål.docx", "A 41834-2023")</f>
        <v/>
      </c>
      <c r="W240">
        <f>HYPERLINK("https://klasma.github.io/Logging_1863/klagomålsmail/A 41834-2023 FSC-klagomål mail.docx", "A 41834-2023")</f>
        <v/>
      </c>
      <c r="X240">
        <f>HYPERLINK("https://klasma.github.io/Logging_1863/tillsyn/A 41834-2023 tillsynsbegäran.docx", "A 41834-2023")</f>
        <v/>
      </c>
      <c r="Y240">
        <f>HYPERLINK("https://klasma.github.io/Logging_1863/tillsynsmail/A 41834-2023 tillsynsbegäran mail.docx", "A 41834-2023")</f>
        <v/>
      </c>
    </row>
    <row r="241" ht="15" customHeight="1">
      <c r="A241" t="inlineStr">
        <is>
          <t>A 16554-2024</t>
        </is>
      </c>
      <c r="B241" s="1" t="n">
        <v>45408</v>
      </c>
      <c r="C241" s="1" t="n">
        <v>45952</v>
      </c>
      <c r="D241" t="inlineStr">
        <is>
          <t>ÖREBRO LÄN</t>
        </is>
      </c>
      <c r="E241" t="inlineStr">
        <is>
          <t>NORA</t>
        </is>
      </c>
      <c r="F241" t="inlineStr">
        <is>
          <t>Sveaskog</t>
        </is>
      </c>
      <c r="G241" t="n">
        <v>4</v>
      </c>
      <c r="H241" t="n">
        <v>1</v>
      </c>
      <c r="I241" t="n">
        <v>0</v>
      </c>
      <c r="J241" t="n">
        <v>0</v>
      </c>
      <c r="K241" t="n">
        <v>0</v>
      </c>
      <c r="L241" t="n">
        <v>0</v>
      </c>
      <c r="M241" t="n">
        <v>0</v>
      </c>
      <c r="N241" t="n">
        <v>0</v>
      </c>
      <c r="O241" t="n">
        <v>0</v>
      </c>
      <c r="P241" t="n">
        <v>0</v>
      </c>
      <c r="Q241" t="n">
        <v>1</v>
      </c>
      <c r="R241" s="2" t="inlineStr">
        <is>
          <t>Blåsippa</t>
        </is>
      </c>
      <c r="S241">
        <f>HYPERLINK("https://klasma.github.io/Logging_1884/artfynd/A 16554-2024 artfynd.xlsx", "A 16554-2024")</f>
        <v/>
      </c>
      <c r="T241">
        <f>HYPERLINK("https://klasma.github.io/Logging_1884/kartor/A 16554-2024 karta.png", "A 16554-2024")</f>
        <v/>
      </c>
      <c r="V241">
        <f>HYPERLINK("https://klasma.github.io/Logging_1884/klagomål/A 16554-2024 FSC-klagomål.docx", "A 16554-2024")</f>
        <v/>
      </c>
      <c r="W241">
        <f>HYPERLINK("https://klasma.github.io/Logging_1884/klagomålsmail/A 16554-2024 FSC-klagomål mail.docx", "A 16554-2024")</f>
        <v/>
      </c>
      <c r="X241">
        <f>HYPERLINK("https://klasma.github.io/Logging_1884/tillsyn/A 16554-2024 tillsynsbegäran.docx", "A 16554-2024")</f>
        <v/>
      </c>
      <c r="Y241">
        <f>HYPERLINK("https://klasma.github.io/Logging_1884/tillsynsmail/A 16554-2024 tillsynsbegäran mail.docx", "A 16554-2024")</f>
        <v/>
      </c>
    </row>
    <row r="242" ht="15" customHeight="1">
      <c r="A242" t="inlineStr">
        <is>
          <t>A 38914-2023</t>
        </is>
      </c>
      <c r="B242" s="1" t="n">
        <v>45163</v>
      </c>
      <c r="C242" s="1" t="n">
        <v>45952</v>
      </c>
      <c r="D242" t="inlineStr">
        <is>
          <t>ÖREBRO LÄN</t>
        </is>
      </c>
      <c r="E242" t="inlineStr">
        <is>
          <t>DEGERFORS</t>
        </is>
      </c>
      <c r="F242" t="inlineStr">
        <is>
          <t>Sveaskog</t>
        </is>
      </c>
      <c r="G242" t="n">
        <v>5.4</v>
      </c>
      <c r="H242" t="n">
        <v>1</v>
      </c>
      <c r="I242" t="n">
        <v>0</v>
      </c>
      <c r="J242" t="n">
        <v>1</v>
      </c>
      <c r="K242" t="n">
        <v>0</v>
      </c>
      <c r="L242" t="n">
        <v>0</v>
      </c>
      <c r="M242" t="n">
        <v>0</v>
      </c>
      <c r="N242" t="n">
        <v>0</v>
      </c>
      <c r="O242" t="n">
        <v>1</v>
      </c>
      <c r="P242" t="n">
        <v>0</v>
      </c>
      <c r="Q242" t="n">
        <v>1</v>
      </c>
      <c r="R242" s="2" t="inlineStr">
        <is>
          <t>Tretåig hackspett</t>
        </is>
      </c>
      <c r="S242">
        <f>HYPERLINK("https://klasma.github.io/Logging_1862/artfynd/A 38914-2023 artfynd.xlsx", "A 38914-2023")</f>
        <v/>
      </c>
      <c r="T242">
        <f>HYPERLINK("https://klasma.github.io/Logging_1862/kartor/A 38914-2023 karta.png", "A 38914-2023")</f>
        <v/>
      </c>
      <c r="V242">
        <f>HYPERLINK("https://klasma.github.io/Logging_1862/klagomål/A 38914-2023 FSC-klagomål.docx", "A 38914-2023")</f>
        <v/>
      </c>
      <c r="W242">
        <f>HYPERLINK("https://klasma.github.io/Logging_1862/klagomålsmail/A 38914-2023 FSC-klagomål mail.docx", "A 38914-2023")</f>
        <v/>
      </c>
      <c r="X242">
        <f>HYPERLINK("https://klasma.github.io/Logging_1862/tillsyn/A 38914-2023 tillsynsbegäran.docx", "A 38914-2023")</f>
        <v/>
      </c>
      <c r="Y242">
        <f>HYPERLINK("https://klasma.github.io/Logging_1862/tillsynsmail/A 38914-2023 tillsynsbegäran mail.docx", "A 38914-2023")</f>
        <v/>
      </c>
      <c r="Z242">
        <f>HYPERLINK("https://klasma.github.io/Logging_1862/fåglar/A 38914-2023 prioriterade fågelarter.docx", "A 38914-2023")</f>
        <v/>
      </c>
    </row>
    <row r="243" ht="15" customHeight="1">
      <c r="A243" t="inlineStr">
        <is>
          <t>A 7845-2025</t>
        </is>
      </c>
      <c r="B243" s="1" t="n">
        <v>45706.66359953704</v>
      </c>
      <c r="C243" s="1" t="n">
        <v>45952</v>
      </c>
      <c r="D243" t="inlineStr">
        <is>
          <t>ÖREBRO LÄN</t>
        </is>
      </c>
      <c r="E243" t="inlineStr">
        <is>
          <t>ASKERSUND</t>
        </is>
      </c>
      <c r="F243" t="inlineStr">
        <is>
          <t>Kyrkan</t>
        </is>
      </c>
      <c r="G243" t="n">
        <v>6.1</v>
      </c>
      <c r="H243" t="n">
        <v>1</v>
      </c>
      <c r="I243" t="n">
        <v>0</v>
      </c>
      <c r="J243" t="n">
        <v>0</v>
      </c>
      <c r="K243" t="n">
        <v>0</v>
      </c>
      <c r="L243" t="n">
        <v>0</v>
      </c>
      <c r="M243" t="n">
        <v>0</v>
      </c>
      <c r="N243" t="n">
        <v>0</v>
      </c>
      <c r="O243" t="n">
        <v>0</v>
      </c>
      <c r="P243" t="n">
        <v>0</v>
      </c>
      <c r="Q243" t="n">
        <v>1</v>
      </c>
      <c r="R243" s="2" t="inlineStr">
        <is>
          <t>Revlummer</t>
        </is>
      </c>
      <c r="S243">
        <f>HYPERLINK("https://klasma.github.io/Logging_1882/artfynd/A 7845-2025 artfynd.xlsx", "A 7845-2025")</f>
        <v/>
      </c>
      <c r="T243">
        <f>HYPERLINK("https://klasma.github.io/Logging_1882/kartor/A 7845-2025 karta.png", "A 7845-2025")</f>
        <v/>
      </c>
      <c r="V243">
        <f>HYPERLINK("https://klasma.github.io/Logging_1882/klagomål/A 7845-2025 FSC-klagomål.docx", "A 7845-2025")</f>
        <v/>
      </c>
      <c r="W243">
        <f>HYPERLINK("https://klasma.github.io/Logging_1882/klagomålsmail/A 7845-2025 FSC-klagomål mail.docx", "A 7845-2025")</f>
        <v/>
      </c>
      <c r="X243">
        <f>HYPERLINK("https://klasma.github.io/Logging_1882/tillsyn/A 7845-2025 tillsynsbegäran.docx", "A 7845-2025")</f>
        <v/>
      </c>
      <c r="Y243">
        <f>HYPERLINK("https://klasma.github.io/Logging_1882/tillsynsmail/A 7845-2025 tillsynsbegäran mail.docx", "A 7845-2025")</f>
        <v/>
      </c>
    </row>
    <row r="244" ht="15" customHeight="1">
      <c r="A244" t="inlineStr">
        <is>
          <t>A 39105-2024</t>
        </is>
      </c>
      <c r="B244" s="1" t="n">
        <v>45548.57174768519</v>
      </c>
      <c r="C244" s="1" t="n">
        <v>45952</v>
      </c>
      <c r="D244" t="inlineStr">
        <is>
          <t>ÖREBRO LÄN</t>
        </is>
      </c>
      <c r="E244" t="inlineStr">
        <is>
          <t>HÄLLEFORS</t>
        </is>
      </c>
      <c r="G244" t="n">
        <v>3.3</v>
      </c>
      <c r="H244" t="n">
        <v>0</v>
      </c>
      <c r="I244" t="n">
        <v>0</v>
      </c>
      <c r="J244" t="n">
        <v>0</v>
      </c>
      <c r="K244" t="n">
        <v>1</v>
      </c>
      <c r="L244" t="n">
        <v>0</v>
      </c>
      <c r="M244" t="n">
        <v>0</v>
      </c>
      <c r="N244" t="n">
        <v>0</v>
      </c>
      <c r="O244" t="n">
        <v>1</v>
      </c>
      <c r="P244" t="n">
        <v>1</v>
      </c>
      <c r="Q244" t="n">
        <v>1</v>
      </c>
      <c r="R244" s="2" t="inlineStr">
        <is>
          <t>Trollsmultron</t>
        </is>
      </c>
      <c r="S244">
        <f>HYPERLINK("https://klasma.github.io/Logging_1863/artfynd/A 39105-2024 artfynd.xlsx", "A 39105-2024")</f>
        <v/>
      </c>
      <c r="T244">
        <f>HYPERLINK("https://klasma.github.io/Logging_1863/kartor/A 39105-2024 karta.png", "A 39105-2024")</f>
        <v/>
      </c>
      <c r="V244">
        <f>HYPERLINK("https://klasma.github.io/Logging_1863/klagomål/A 39105-2024 FSC-klagomål.docx", "A 39105-2024")</f>
        <v/>
      </c>
      <c r="W244">
        <f>HYPERLINK("https://klasma.github.io/Logging_1863/klagomålsmail/A 39105-2024 FSC-klagomål mail.docx", "A 39105-2024")</f>
        <v/>
      </c>
      <c r="X244">
        <f>HYPERLINK("https://klasma.github.io/Logging_1863/tillsyn/A 39105-2024 tillsynsbegäran.docx", "A 39105-2024")</f>
        <v/>
      </c>
      <c r="Y244">
        <f>HYPERLINK("https://klasma.github.io/Logging_1863/tillsynsmail/A 39105-2024 tillsynsbegäran mail.docx", "A 39105-2024")</f>
        <v/>
      </c>
    </row>
    <row r="245" ht="15" customHeight="1">
      <c r="A245" t="inlineStr">
        <is>
          <t>A 27900-2024</t>
        </is>
      </c>
      <c r="B245" s="1" t="n">
        <v>45475.92849537037</v>
      </c>
      <c r="C245" s="1" t="n">
        <v>45952</v>
      </c>
      <c r="D245" t="inlineStr">
        <is>
          <t>ÖREBRO LÄN</t>
        </is>
      </c>
      <c r="E245" t="inlineStr">
        <is>
          <t>LINDESBERG</t>
        </is>
      </c>
      <c r="F245" t="inlineStr">
        <is>
          <t>Sveaskog</t>
        </is>
      </c>
      <c r="G245" t="n">
        <v>4.1</v>
      </c>
      <c r="H245" t="n">
        <v>1</v>
      </c>
      <c r="I245" t="n">
        <v>0</v>
      </c>
      <c r="J245" t="n">
        <v>0</v>
      </c>
      <c r="K245" t="n">
        <v>0</v>
      </c>
      <c r="L245" t="n">
        <v>0</v>
      </c>
      <c r="M245" t="n">
        <v>0</v>
      </c>
      <c r="N245" t="n">
        <v>0</v>
      </c>
      <c r="O245" t="n">
        <v>0</v>
      </c>
      <c r="P245" t="n">
        <v>0</v>
      </c>
      <c r="Q245" t="n">
        <v>1</v>
      </c>
      <c r="R245" s="2" t="inlineStr">
        <is>
          <t>Fläcknycklar</t>
        </is>
      </c>
      <c r="S245">
        <f>HYPERLINK("https://klasma.github.io/Logging_1885/artfynd/A 27900-2024 artfynd.xlsx", "A 27900-2024")</f>
        <v/>
      </c>
      <c r="T245">
        <f>HYPERLINK("https://klasma.github.io/Logging_1885/kartor/A 27900-2024 karta.png", "A 27900-2024")</f>
        <v/>
      </c>
      <c r="V245">
        <f>HYPERLINK("https://klasma.github.io/Logging_1885/klagomål/A 27900-2024 FSC-klagomål.docx", "A 27900-2024")</f>
        <v/>
      </c>
      <c r="W245">
        <f>HYPERLINK("https://klasma.github.io/Logging_1885/klagomålsmail/A 27900-2024 FSC-klagomål mail.docx", "A 27900-2024")</f>
        <v/>
      </c>
      <c r="X245">
        <f>HYPERLINK("https://klasma.github.io/Logging_1885/tillsyn/A 27900-2024 tillsynsbegäran.docx", "A 27900-2024")</f>
        <v/>
      </c>
      <c r="Y245">
        <f>HYPERLINK("https://klasma.github.io/Logging_1885/tillsynsmail/A 27900-2024 tillsynsbegäran mail.docx", "A 27900-2024")</f>
        <v/>
      </c>
    </row>
    <row r="246" ht="15" customHeight="1">
      <c r="A246" t="inlineStr">
        <is>
          <t>A 67013-2021</t>
        </is>
      </c>
      <c r="B246" s="1" t="n">
        <v>44522</v>
      </c>
      <c r="C246" s="1" t="n">
        <v>45952</v>
      </c>
      <c r="D246" t="inlineStr">
        <is>
          <t>ÖREBRO LÄN</t>
        </is>
      </c>
      <c r="E246" t="inlineStr">
        <is>
          <t>LINDESBERG</t>
        </is>
      </c>
      <c r="G246" t="n">
        <v>0.5</v>
      </c>
      <c r="H246" t="n">
        <v>0</v>
      </c>
      <c r="I246" t="n">
        <v>0</v>
      </c>
      <c r="J246" t="n">
        <v>1</v>
      </c>
      <c r="K246" t="n">
        <v>0</v>
      </c>
      <c r="L246" t="n">
        <v>0</v>
      </c>
      <c r="M246" t="n">
        <v>0</v>
      </c>
      <c r="N246" t="n">
        <v>0</v>
      </c>
      <c r="O246" t="n">
        <v>1</v>
      </c>
      <c r="P246" t="n">
        <v>0</v>
      </c>
      <c r="Q246" t="n">
        <v>1</v>
      </c>
      <c r="R246" s="2" t="inlineStr">
        <is>
          <t>Skogsklocka</t>
        </is>
      </c>
      <c r="S246">
        <f>HYPERLINK("https://klasma.github.io/Logging_1885/artfynd/A 67013-2021 artfynd.xlsx", "A 67013-2021")</f>
        <v/>
      </c>
      <c r="T246">
        <f>HYPERLINK("https://klasma.github.io/Logging_1885/kartor/A 67013-2021 karta.png", "A 67013-2021")</f>
        <v/>
      </c>
      <c r="V246">
        <f>HYPERLINK("https://klasma.github.io/Logging_1885/klagomål/A 67013-2021 FSC-klagomål.docx", "A 67013-2021")</f>
        <v/>
      </c>
      <c r="W246">
        <f>HYPERLINK("https://klasma.github.io/Logging_1885/klagomålsmail/A 67013-2021 FSC-klagomål mail.docx", "A 67013-2021")</f>
        <v/>
      </c>
      <c r="X246">
        <f>HYPERLINK("https://klasma.github.io/Logging_1885/tillsyn/A 67013-2021 tillsynsbegäran.docx", "A 67013-2021")</f>
        <v/>
      </c>
      <c r="Y246">
        <f>HYPERLINK("https://klasma.github.io/Logging_1885/tillsynsmail/A 67013-2021 tillsynsbegäran mail.docx", "A 67013-2021")</f>
        <v/>
      </c>
    </row>
    <row r="247" ht="15" customHeight="1">
      <c r="A247" t="inlineStr">
        <is>
          <t>A 22962-2021</t>
        </is>
      </c>
      <c r="B247" s="1" t="n">
        <v>44328</v>
      </c>
      <c r="C247" s="1" t="n">
        <v>45952</v>
      </c>
      <c r="D247" t="inlineStr">
        <is>
          <t>ÖREBRO LÄN</t>
        </is>
      </c>
      <c r="E247" t="inlineStr">
        <is>
          <t>HALLSBERG</t>
        </is>
      </c>
      <c r="G247" t="n">
        <v>4.4</v>
      </c>
      <c r="H247" t="n">
        <v>0</v>
      </c>
      <c r="I247" t="n">
        <v>1</v>
      </c>
      <c r="J247" t="n">
        <v>0</v>
      </c>
      <c r="K247" t="n">
        <v>0</v>
      </c>
      <c r="L247" t="n">
        <v>0</v>
      </c>
      <c r="M247" t="n">
        <v>0</v>
      </c>
      <c r="N247" t="n">
        <v>0</v>
      </c>
      <c r="O247" t="n">
        <v>0</v>
      </c>
      <c r="P247" t="n">
        <v>0</v>
      </c>
      <c r="Q247" t="n">
        <v>1</v>
      </c>
      <c r="R247" s="2" t="inlineStr">
        <is>
          <t>Tibast</t>
        </is>
      </c>
      <c r="S247">
        <f>HYPERLINK("https://klasma.github.io/Logging_1861/artfynd/A 22962-2021 artfynd.xlsx", "A 22962-2021")</f>
        <v/>
      </c>
      <c r="T247">
        <f>HYPERLINK("https://klasma.github.io/Logging_1861/kartor/A 22962-2021 karta.png", "A 22962-2021")</f>
        <v/>
      </c>
      <c r="V247">
        <f>HYPERLINK("https://klasma.github.io/Logging_1861/klagomål/A 22962-2021 FSC-klagomål.docx", "A 22962-2021")</f>
        <v/>
      </c>
      <c r="W247">
        <f>HYPERLINK("https://klasma.github.io/Logging_1861/klagomålsmail/A 22962-2021 FSC-klagomål mail.docx", "A 22962-2021")</f>
        <v/>
      </c>
      <c r="X247">
        <f>HYPERLINK("https://klasma.github.io/Logging_1861/tillsyn/A 22962-2021 tillsynsbegäran.docx", "A 22962-2021")</f>
        <v/>
      </c>
      <c r="Y247">
        <f>HYPERLINK("https://klasma.github.io/Logging_1861/tillsynsmail/A 22962-2021 tillsynsbegäran mail.docx", "A 22962-2021")</f>
        <v/>
      </c>
    </row>
    <row r="248" ht="15" customHeight="1">
      <c r="A248" t="inlineStr">
        <is>
          <t>A 28821-2024</t>
        </is>
      </c>
      <c r="B248" s="1" t="n">
        <v>45478.65488425926</v>
      </c>
      <c r="C248" s="1" t="n">
        <v>45952</v>
      </c>
      <c r="D248" t="inlineStr">
        <is>
          <t>ÖREBRO LÄN</t>
        </is>
      </c>
      <c r="E248" t="inlineStr">
        <is>
          <t>LEKEBERG</t>
        </is>
      </c>
      <c r="F248" t="inlineStr">
        <is>
          <t>Sveaskog</t>
        </is>
      </c>
      <c r="G248" t="n">
        <v>4.7</v>
      </c>
      <c r="H248" t="n">
        <v>0</v>
      </c>
      <c r="I248" t="n">
        <v>1</v>
      </c>
      <c r="J248" t="n">
        <v>0</v>
      </c>
      <c r="K248" t="n">
        <v>0</v>
      </c>
      <c r="L248" t="n">
        <v>0</v>
      </c>
      <c r="M248" t="n">
        <v>0</v>
      </c>
      <c r="N248" t="n">
        <v>0</v>
      </c>
      <c r="O248" t="n">
        <v>0</v>
      </c>
      <c r="P248" t="n">
        <v>0</v>
      </c>
      <c r="Q248" t="n">
        <v>1</v>
      </c>
      <c r="R248" s="2" t="inlineStr">
        <is>
          <t>Blåmossa</t>
        </is>
      </c>
      <c r="S248">
        <f>HYPERLINK("https://klasma.github.io/Logging_1814/artfynd/A 28821-2024 artfynd.xlsx", "A 28821-2024")</f>
        <v/>
      </c>
      <c r="T248">
        <f>HYPERLINK("https://klasma.github.io/Logging_1814/kartor/A 28821-2024 karta.png", "A 28821-2024")</f>
        <v/>
      </c>
      <c r="V248">
        <f>HYPERLINK("https://klasma.github.io/Logging_1814/klagomål/A 28821-2024 FSC-klagomål.docx", "A 28821-2024")</f>
        <v/>
      </c>
      <c r="W248">
        <f>HYPERLINK("https://klasma.github.io/Logging_1814/klagomålsmail/A 28821-2024 FSC-klagomål mail.docx", "A 28821-2024")</f>
        <v/>
      </c>
      <c r="X248">
        <f>HYPERLINK("https://klasma.github.io/Logging_1814/tillsyn/A 28821-2024 tillsynsbegäran.docx", "A 28821-2024")</f>
        <v/>
      </c>
      <c r="Y248">
        <f>HYPERLINK("https://klasma.github.io/Logging_1814/tillsynsmail/A 28821-2024 tillsynsbegäran mail.docx", "A 28821-2024")</f>
        <v/>
      </c>
    </row>
    <row r="249" ht="15" customHeight="1">
      <c r="A249" t="inlineStr">
        <is>
          <t>A 28140-2021</t>
        </is>
      </c>
      <c r="B249" s="1" t="n">
        <v>44355</v>
      </c>
      <c r="C249" s="1" t="n">
        <v>45952</v>
      </c>
      <c r="D249" t="inlineStr">
        <is>
          <t>ÖREBRO LÄN</t>
        </is>
      </c>
      <c r="E249" t="inlineStr">
        <is>
          <t>HALLSBERG</t>
        </is>
      </c>
      <c r="F249" t="inlineStr">
        <is>
          <t>Sveaskog</t>
        </is>
      </c>
      <c r="G249" t="n">
        <v>1.5</v>
      </c>
      <c r="H249" t="n">
        <v>0</v>
      </c>
      <c r="I249" t="n">
        <v>0</v>
      </c>
      <c r="J249" t="n">
        <v>1</v>
      </c>
      <c r="K249" t="n">
        <v>0</v>
      </c>
      <c r="L249" t="n">
        <v>0</v>
      </c>
      <c r="M249" t="n">
        <v>0</v>
      </c>
      <c r="N249" t="n">
        <v>0</v>
      </c>
      <c r="O249" t="n">
        <v>1</v>
      </c>
      <c r="P249" t="n">
        <v>0</v>
      </c>
      <c r="Q249" t="n">
        <v>1</v>
      </c>
      <c r="R249" s="2" t="inlineStr">
        <is>
          <t>Skogsklocka</t>
        </is>
      </c>
      <c r="S249">
        <f>HYPERLINK("https://klasma.github.io/Logging_1861/artfynd/A 28140-2021 artfynd.xlsx", "A 28140-2021")</f>
        <v/>
      </c>
      <c r="T249">
        <f>HYPERLINK("https://klasma.github.io/Logging_1861/kartor/A 28140-2021 karta.png", "A 28140-2021")</f>
        <v/>
      </c>
      <c r="V249">
        <f>HYPERLINK("https://klasma.github.io/Logging_1861/klagomål/A 28140-2021 FSC-klagomål.docx", "A 28140-2021")</f>
        <v/>
      </c>
      <c r="W249">
        <f>HYPERLINK("https://klasma.github.io/Logging_1861/klagomålsmail/A 28140-2021 FSC-klagomål mail.docx", "A 28140-2021")</f>
        <v/>
      </c>
      <c r="X249">
        <f>HYPERLINK("https://klasma.github.io/Logging_1861/tillsyn/A 28140-2021 tillsynsbegäran.docx", "A 28140-2021")</f>
        <v/>
      </c>
      <c r="Y249">
        <f>HYPERLINK("https://klasma.github.io/Logging_1861/tillsynsmail/A 28140-2021 tillsynsbegäran mail.docx", "A 28140-2021")</f>
        <v/>
      </c>
    </row>
    <row r="250" ht="15" customHeight="1">
      <c r="A250" t="inlineStr">
        <is>
          <t>A 32105-2023</t>
        </is>
      </c>
      <c r="B250" s="1" t="n">
        <v>45119</v>
      </c>
      <c r="C250" s="1" t="n">
        <v>45952</v>
      </c>
      <c r="D250" t="inlineStr">
        <is>
          <t>ÖREBRO LÄN</t>
        </is>
      </c>
      <c r="E250" t="inlineStr">
        <is>
          <t>ÖREBRO</t>
        </is>
      </c>
      <c r="G250" t="n">
        <v>1.3</v>
      </c>
      <c r="H250" t="n">
        <v>1</v>
      </c>
      <c r="I250" t="n">
        <v>0</v>
      </c>
      <c r="J250" t="n">
        <v>1</v>
      </c>
      <c r="K250" t="n">
        <v>0</v>
      </c>
      <c r="L250" t="n">
        <v>0</v>
      </c>
      <c r="M250" t="n">
        <v>0</v>
      </c>
      <c r="N250" t="n">
        <v>0</v>
      </c>
      <c r="O250" t="n">
        <v>1</v>
      </c>
      <c r="P250" t="n">
        <v>0</v>
      </c>
      <c r="Q250" t="n">
        <v>1</v>
      </c>
      <c r="R250" s="2" t="inlineStr">
        <is>
          <t>Rödvingetrast</t>
        </is>
      </c>
      <c r="S250">
        <f>HYPERLINK("https://klasma.github.io/Logging_1880/artfynd/A 32105-2023 artfynd.xlsx", "A 32105-2023")</f>
        <v/>
      </c>
      <c r="T250">
        <f>HYPERLINK("https://klasma.github.io/Logging_1880/kartor/A 32105-2023 karta.png", "A 32105-2023")</f>
        <v/>
      </c>
      <c r="V250">
        <f>HYPERLINK("https://klasma.github.io/Logging_1880/klagomål/A 32105-2023 FSC-klagomål.docx", "A 32105-2023")</f>
        <v/>
      </c>
      <c r="W250">
        <f>HYPERLINK("https://klasma.github.io/Logging_1880/klagomålsmail/A 32105-2023 FSC-klagomål mail.docx", "A 32105-2023")</f>
        <v/>
      </c>
      <c r="X250">
        <f>HYPERLINK("https://klasma.github.io/Logging_1880/tillsyn/A 32105-2023 tillsynsbegäran.docx", "A 32105-2023")</f>
        <v/>
      </c>
      <c r="Y250">
        <f>HYPERLINK("https://klasma.github.io/Logging_1880/tillsynsmail/A 32105-2023 tillsynsbegäran mail.docx", "A 32105-2023")</f>
        <v/>
      </c>
      <c r="Z250">
        <f>HYPERLINK("https://klasma.github.io/Logging_1880/fåglar/A 32105-2023 prioriterade fågelarter.docx", "A 32105-2023")</f>
        <v/>
      </c>
    </row>
    <row r="251" ht="15" customHeight="1">
      <c r="A251" t="inlineStr">
        <is>
          <t>A 45051-2024</t>
        </is>
      </c>
      <c r="B251" s="1" t="n">
        <v>45575.54934027778</v>
      </c>
      <c r="C251" s="1" t="n">
        <v>45952</v>
      </c>
      <c r="D251" t="inlineStr">
        <is>
          <t>ÖREBRO LÄN</t>
        </is>
      </c>
      <c r="E251" t="inlineStr">
        <is>
          <t>LINDESBERG</t>
        </is>
      </c>
      <c r="F251" t="inlineStr">
        <is>
          <t>Sveaskog</t>
        </is>
      </c>
      <c r="G251" t="n">
        <v>2.2</v>
      </c>
      <c r="H251" t="n">
        <v>1</v>
      </c>
      <c r="I251" t="n">
        <v>0</v>
      </c>
      <c r="J251" t="n">
        <v>1</v>
      </c>
      <c r="K251" t="n">
        <v>0</v>
      </c>
      <c r="L251" t="n">
        <v>0</v>
      </c>
      <c r="M251" t="n">
        <v>0</v>
      </c>
      <c r="N251" t="n">
        <v>0</v>
      </c>
      <c r="O251" t="n">
        <v>1</v>
      </c>
      <c r="P251" t="n">
        <v>0</v>
      </c>
      <c r="Q251" t="n">
        <v>1</v>
      </c>
      <c r="R251" s="2" t="inlineStr">
        <is>
          <t>Spillkråka</t>
        </is>
      </c>
      <c r="S251">
        <f>HYPERLINK("https://klasma.github.io/Logging_1885/artfynd/A 45051-2024 artfynd.xlsx", "A 45051-2024")</f>
        <v/>
      </c>
      <c r="T251">
        <f>HYPERLINK("https://klasma.github.io/Logging_1885/kartor/A 45051-2024 karta.png", "A 45051-2024")</f>
        <v/>
      </c>
      <c r="V251">
        <f>HYPERLINK("https://klasma.github.io/Logging_1885/klagomål/A 45051-2024 FSC-klagomål.docx", "A 45051-2024")</f>
        <v/>
      </c>
      <c r="W251">
        <f>HYPERLINK("https://klasma.github.io/Logging_1885/klagomålsmail/A 45051-2024 FSC-klagomål mail.docx", "A 45051-2024")</f>
        <v/>
      </c>
      <c r="X251">
        <f>HYPERLINK("https://klasma.github.io/Logging_1885/tillsyn/A 45051-2024 tillsynsbegäran.docx", "A 45051-2024")</f>
        <v/>
      </c>
      <c r="Y251">
        <f>HYPERLINK("https://klasma.github.io/Logging_1885/tillsynsmail/A 45051-2024 tillsynsbegäran mail.docx", "A 45051-2024")</f>
        <v/>
      </c>
      <c r="Z251">
        <f>HYPERLINK("https://klasma.github.io/Logging_1885/fåglar/A 45051-2024 prioriterade fågelarter.docx", "A 45051-2024")</f>
        <v/>
      </c>
    </row>
    <row r="252" ht="15" customHeight="1">
      <c r="A252" t="inlineStr">
        <is>
          <t>A 41520-2023</t>
        </is>
      </c>
      <c r="B252" s="1" t="n">
        <v>45175</v>
      </c>
      <c r="C252" s="1" t="n">
        <v>45952</v>
      </c>
      <c r="D252" t="inlineStr">
        <is>
          <t>ÖREBRO LÄN</t>
        </is>
      </c>
      <c r="E252" t="inlineStr">
        <is>
          <t>DEGERFORS</t>
        </is>
      </c>
      <c r="F252" t="inlineStr">
        <is>
          <t>Sveaskog</t>
        </is>
      </c>
      <c r="G252" t="n">
        <v>3</v>
      </c>
      <c r="H252" t="n">
        <v>1</v>
      </c>
      <c r="I252" t="n">
        <v>0</v>
      </c>
      <c r="J252" t="n">
        <v>1</v>
      </c>
      <c r="K252" t="n">
        <v>0</v>
      </c>
      <c r="L252" t="n">
        <v>0</v>
      </c>
      <c r="M252" t="n">
        <v>0</v>
      </c>
      <c r="N252" t="n">
        <v>0</v>
      </c>
      <c r="O252" t="n">
        <v>1</v>
      </c>
      <c r="P252" t="n">
        <v>0</v>
      </c>
      <c r="Q252" t="n">
        <v>1</v>
      </c>
      <c r="R252" s="2" t="inlineStr">
        <is>
          <t>Tretåig hackspett</t>
        </is>
      </c>
      <c r="S252">
        <f>HYPERLINK("https://klasma.github.io/Logging_1862/artfynd/A 41520-2023 artfynd.xlsx", "A 41520-2023")</f>
        <v/>
      </c>
      <c r="T252">
        <f>HYPERLINK("https://klasma.github.io/Logging_1862/kartor/A 41520-2023 karta.png", "A 41520-2023")</f>
        <v/>
      </c>
      <c r="V252">
        <f>HYPERLINK("https://klasma.github.io/Logging_1862/klagomål/A 41520-2023 FSC-klagomål.docx", "A 41520-2023")</f>
        <v/>
      </c>
      <c r="W252">
        <f>HYPERLINK("https://klasma.github.io/Logging_1862/klagomålsmail/A 41520-2023 FSC-klagomål mail.docx", "A 41520-2023")</f>
        <v/>
      </c>
      <c r="X252">
        <f>HYPERLINK("https://klasma.github.io/Logging_1862/tillsyn/A 41520-2023 tillsynsbegäran.docx", "A 41520-2023")</f>
        <v/>
      </c>
      <c r="Y252">
        <f>HYPERLINK("https://klasma.github.io/Logging_1862/tillsynsmail/A 41520-2023 tillsynsbegäran mail.docx", "A 41520-2023")</f>
        <v/>
      </c>
      <c r="Z252">
        <f>HYPERLINK("https://klasma.github.io/Logging_1862/fåglar/A 41520-2023 prioriterade fågelarter.docx", "A 41520-2023")</f>
        <v/>
      </c>
    </row>
    <row r="253" ht="15" customHeight="1">
      <c r="A253" t="inlineStr">
        <is>
          <t>A 32547-2024</t>
        </is>
      </c>
      <c r="B253" s="1" t="n">
        <v>45513</v>
      </c>
      <c r="C253" s="1" t="n">
        <v>45952</v>
      </c>
      <c r="D253" t="inlineStr">
        <is>
          <t>ÖREBRO LÄN</t>
        </is>
      </c>
      <c r="E253" t="inlineStr">
        <is>
          <t>HALLSBERG</t>
        </is>
      </c>
      <c r="G253" t="n">
        <v>3</v>
      </c>
      <c r="H253" t="n">
        <v>0</v>
      </c>
      <c r="I253" t="n">
        <v>1</v>
      </c>
      <c r="J253" t="n">
        <v>0</v>
      </c>
      <c r="K253" t="n">
        <v>0</v>
      </c>
      <c r="L253" t="n">
        <v>0</v>
      </c>
      <c r="M253" t="n">
        <v>0</v>
      </c>
      <c r="N253" t="n">
        <v>0</v>
      </c>
      <c r="O253" t="n">
        <v>0</v>
      </c>
      <c r="P253" t="n">
        <v>0</v>
      </c>
      <c r="Q253" t="n">
        <v>1</v>
      </c>
      <c r="R253" s="2" t="inlineStr">
        <is>
          <t>Strutbräken</t>
        </is>
      </c>
      <c r="S253">
        <f>HYPERLINK("https://klasma.github.io/Logging_1861/artfynd/A 32547-2024 artfynd.xlsx", "A 32547-2024")</f>
        <v/>
      </c>
      <c r="T253">
        <f>HYPERLINK("https://klasma.github.io/Logging_1861/kartor/A 32547-2024 karta.png", "A 32547-2024")</f>
        <v/>
      </c>
      <c r="V253">
        <f>HYPERLINK("https://klasma.github.io/Logging_1861/klagomål/A 32547-2024 FSC-klagomål.docx", "A 32547-2024")</f>
        <v/>
      </c>
      <c r="W253">
        <f>HYPERLINK("https://klasma.github.io/Logging_1861/klagomålsmail/A 32547-2024 FSC-klagomål mail.docx", "A 32547-2024")</f>
        <v/>
      </c>
      <c r="X253">
        <f>HYPERLINK("https://klasma.github.io/Logging_1861/tillsyn/A 32547-2024 tillsynsbegäran.docx", "A 32547-2024")</f>
        <v/>
      </c>
      <c r="Y253">
        <f>HYPERLINK("https://klasma.github.io/Logging_1861/tillsynsmail/A 32547-2024 tillsynsbegäran mail.docx", "A 32547-2024")</f>
        <v/>
      </c>
    </row>
    <row r="254" ht="15" customHeight="1">
      <c r="A254" t="inlineStr">
        <is>
          <t>A 55832-2021</t>
        </is>
      </c>
      <c r="B254" s="1" t="n">
        <v>44476</v>
      </c>
      <c r="C254" s="1" t="n">
        <v>45952</v>
      </c>
      <c r="D254" t="inlineStr">
        <is>
          <t>ÖREBRO LÄN</t>
        </is>
      </c>
      <c r="E254" t="inlineStr">
        <is>
          <t>ASKERSUND</t>
        </is>
      </c>
      <c r="F254" t="inlineStr">
        <is>
          <t>Sveaskog</t>
        </is>
      </c>
      <c r="G254" t="n">
        <v>3.2</v>
      </c>
      <c r="H254" t="n">
        <v>0</v>
      </c>
      <c r="I254" t="n">
        <v>0</v>
      </c>
      <c r="J254" t="n">
        <v>0</v>
      </c>
      <c r="K254" t="n">
        <v>1</v>
      </c>
      <c r="L254" t="n">
        <v>0</v>
      </c>
      <c r="M254" t="n">
        <v>0</v>
      </c>
      <c r="N254" t="n">
        <v>0</v>
      </c>
      <c r="O254" t="n">
        <v>1</v>
      </c>
      <c r="P254" t="n">
        <v>1</v>
      </c>
      <c r="Q254" t="n">
        <v>1</v>
      </c>
      <c r="R254" s="2" t="inlineStr">
        <is>
          <t>Slåttergubbe</t>
        </is>
      </c>
      <c r="S254">
        <f>HYPERLINK("https://klasma.github.io/Logging_1882/artfynd/A 55832-2021 artfynd.xlsx", "A 55832-2021")</f>
        <v/>
      </c>
      <c r="T254">
        <f>HYPERLINK("https://klasma.github.io/Logging_1882/kartor/A 55832-2021 karta.png", "A 55832-2021")</f>
        <v/>
      </c>
      <c r="V254">
        <f>HYPERLINK("https://klasma.github.io/Logging_1882/klagomål/A 55832-2021 FSC-klagomål.docx", "A 55832-2021")</f>
        <v/>
      </c>
      <c r="W254">
        <f>HYPERLINK("https://klasma.github.io/Logging_1882/klagomålsmail/A 55832-2021 FSC-klagomål mail.docx", "A 55832-2021")</f>
        <v/>
      </c>
      <c r="X254">
        <f>HYPERLINK("https://klasma.github.io/Logging_1882/tillsyn/A 55832-2021 tillsynsbegäran.docx", "A 55832-2021")</f>
        <v/>
      </c>
      <c r="Y254">
        <f>HYPERLINK("https://klasma.github.io/Logging_1882/tillsynsmail/A 55832-2021 tillsynsbegäran mail.docx", "A 55832-2021")</f>
        <v/>
      </c>
    </row>
    <row r="255" ht="15" customHeight="1">
      <c r="A255" t="inlineStr">
        <is>
          <t>A 28147-2022</t>
        </is>
      </c>
      <c r="B255" s="1" t="n">
        <v>44746</v>
      </c>
      <c r="C255" s="1" t="n">
        <v>45952</v>
      </c>
      <c r="D255" t="inlineStr">
        <is>
          <t>ÖREBRO LÄN</t>
        </is>
      </c>
      <c r="E255" t="inlineStr">
        <is>
          <t>LEKEBERG</t>
        </is>
      </c>
      <c r="G255" t="n">
        <v>1.4</v>
      </c>
      <c r="H255" t="n">
        <v>1</v>
      </c>
      <c r="I255" t="n">
        <v>0</v>
      </c>
      <c r="J255" t="n">
        <v>1</v>
      </c>
      <c r="K255" t="n">
        <v>0</v>
      </c>
      <c r="L255" t="n">
        <v>0</v>
      </c>
      <c r="M255" t="n">
        <v>0</v>
      </c>
      <c r="N255" t="n">
        <v>0</v>
      </c>
      <c r="O255" t="n">
        <v>1</v>
      </c>
      <c r="P255" t="n">
        <v>0</v>
      </c>
      <c r="Q255" t="n">
        <v>1</v>
      </c>
      <c r="R255" s="2" t="inlineStr">
        <is>
          <t>Mindre hackspett</t>
        </is>
      </c>
      <c r="S255">
        <f>HYPERLINK("https://klasma.github.io/Logging_1814/artfynd/A 28147-2022 artfynd.xlsx", "A 28147-2022")</f>
        <v/>
      </c>
      <c r="T255">
        <f>HYPERLINK("https://klasma.github.io/Logging_1814/kartor/A 28147-2022 karta.png", "A 28147-2022")</f>
        <v/>
      </c>
      <c r="V255">
        <f>HYPERLINK("https://klasma.github.io/Logging_1814/klagomål/A 28147-2022 FSC-klagomål.docx", "A 28147-2022")</f>
        <v/>
      </c>
      <c r="W255">
        <f>HYPERLINK("https://klasma.github.io/Logging_1814/klagomålsmail/A 28147-2022 FSC-klagomål mail.docx", "A 28147-2022")</f>
        <v/>
      </c>
      <c r="X255">
        <f>HYPERLINK("https://klasma.github.io/Logging_1814/tillsyn/A 28147-2022 tillsynsbegäran.docx", "A 28147-2022")</f>
        <v/>
      </c>
      <c r="Y255">
        <f>HYPERLINK("https://klasma.github.io/Logging_1814/tillsynsmail/A 28147-2022 tillsynsbegäran mail.docx", "A 28147-2022")</f>
        <v/>
      </c>
      <c r="Z255">
        <f>HYPERLINK("https://klasma.github.io/Logging_1814/fåglar/A 28147-2022 prioriterade fågelarter.docx", "A 28147-2022")</f>
        <v/>
      </c>
    </row>
    <row r="256" ht="15" customHeight="1">
      <c r="A256" t="inlineStr">
        <is>
          <t>A 20247-2023</t>
        </is>
      </c>
      <c r="B256" s="1" t="n">
        <v>45055</v>
      </c>
      <c r="C256" s="1" t="n">
        <v>45952</v>
      </c>
      <c r="D256" t="inlineStr">
        <is>
          <t>ÖREBRO LÄN</t>
        </is>
      </c>
      <c r="E256" t="inlineStr">
        <is>
          <t>ÖREBRO</t>
        </is>
      </c>
      <c r="G256" t="n">
        <v>3</v>
      </c>
      <c r="H256" t="n">
        <v>1</v>
      </c>
      <c r="I256" t="n">
        <v>0</v>
      </c>
      <c r="J256" t="n">
        <v>0</v>
      </c>
      <c r="K256" t="n">
        <v>0</v>
      </c>
      <c r="L256" t="n">
        <v>0</v>
      </c>
      <c r="M256" t="n">
        <v>0</v>
      </c>
      <c r="N256" t="n">
        <v>0</v>
      </c>
      <c r="O256" t="n">
        <v>0</v>
      </c>
      <c r="P256" t="n">
        <v>0</v>
      </c>
      <c r="Q256" t="n">
        <v>1</v>
      </c>
      <c r="R256" s="2" t="inlineStr">
        <is>
          <t>Större vattensalamander</t>
        </is>
      </c>
      <c r="S256">
        <f>HYPERLINK("https://klasma.github.io/Logging_1880/artfynd/A 20247-2023 artfynd.xlsx", "A 20247-2023")</f>
        <v/>
      </c>
      <c r="T256">
        <f>HYPERLINK("https://klasma.github.io/Logging_1880/kartor/A 20247-2023 karta.png", "A 20247-2023")</f>
        <v/>
      </c>
      <c r="V256">
        <f>HYPERLINK("https://klasma.github.io/Logging_1880/klagomål/A 20247-2023 FSC-klagomål.docx", "A 20247-2023")</f>
        <v/>
      </c>
      <c r="W256">
        <f>HYPERLINK("https://klasma.github.io/Logging_1880/klagomålsmail/A 20247-2023 FSC-klagomål mail.docx", "A 20247-2023")</f>
        <v/>
      </c>
      <c r="X256">
        <f>HYPERLINK("https://klasma.github.io/Logging_1880/tillsyn/A 20247-2023 tillsynsbegäran.docx", "A 20247-2023")</f>
        <v/>
      </c>
      <c r="Y256">
        <f>HYPERLINK("https://klasma.github.io/Logging_1880/tillsynsmail/A 20247-2023 tillsynsbegäran mail.docx", "A 20247-2023")</f>
        <v/>
      </c>
    </row>
    <row r="257" ht="15" customHeight="1">
      <c r="A257" t="inlineStr">
        <is>
          <t>A 61129-2024</t>
        </is>
      </c>
      <c r="B257" s="1" t="n">
        <v>45645</v>
      </c>
      <c r="C257" s="1" t="n">
        <v>45952</v>
      </c>
      <c r="D257" t="inlineStr">
        <is>
          <t>ÖREBRO LÄN</t>
        </is>
      </c>
      <c r="E257" t="inlineStr">
        <is>
          <t>LINDESBERG</t>
        </is>
      </c>
      <c r="F257" t="inlineStr">
        <is>
          <t>Sveaskog</t>
        </is>
      </c>
      <c r="G257" t="n">
        <v>6.6</v>
      </c>
      <c r="H257" t="n">
        <v>1</v>
      </c>
      <c r="I257" t="n">
        <v>0</v>
      </c>
      <c r="J257" t="n">
        <v>1</v>
      </c>
      <c r="K257" t="n">
        <v>0</v>
      </c>
      <c r="L257" t="n">
        <v>0</v>
      </c>
      <c r="M257" t="n">
        <v>0</v>
      </c>
      <c r="N257" t="n">
        <v>0</v>
      </c>
      <c r="O257" t="n">
        <v>1</v>
      </c>
      <c r="P257" t="n">
        <v>0</v>
      </c>
      <c r="Q257" t="n">
        <v>1</v>
      </c>
      <c r="R257" s="2" t="inlineStr">
        <is>
          <t>Tretåig hackspett</t>
        </is>
      </c>
      <c r="S257">
        <f>HYPERLINK("https://klasma.github.io/Logging_1885/artfynd/A 61129-2024 artfynd.xlsx", "A 61129-2024")</f>
        <v/>
      </c>
      <c r="T257">
        <f>HYPERLINK("https://klasma.github.io/Logging_1885/kartor/A 61129-2024 karta.png", "A 61129-2024")</f>
        <v/>
      </c>
      <c r="V257">
        <f>HYPERLINK("https://klasma.github.io/Logging_1885/klagomål/A 61129-2024 FSC-klagomål.docx", "A 61129-2024")</f>
        <v/>
      </c>
      <c r="W257">
        <f>HYPERLINK("https://klasma.github.io/Logging_1885/klagomålsmail/A 61129-2024 FSC-klagomål mail.docx", "A 61129-2024")</f>
        <v/>
      </c>
      <c r="X257">
        <f>HYPERLINK("https://klasma.github.io/Logging_1885/tillsyn/A 61129-2024 tillsynsbegäran.docx", "A 61129-2024")</f>
        <v/>
      </c>
      <c r="Y257">
        <f>HYPERLINK("https://klasma.github.io/Logging_1885/tillsynsmail/A 61129-2024 tillsynsbegäran mail.docx", "A 61129-2024")</f>
        <v/>
      </c>
      <c r="Z257">
        <f>HYPERLINK("https://klasma.github.io/Logging_1885/fåglar/A 61129-2024 prioriterade fågelarter.docx", "A 61129-2024")</f>
        <v/>
      </c>
    </row>
    <row r="258" ht="15" customHeight="1">
      <c r="A258" t="inlineStr">
        <is>
          <t>A 54715-2023</t>
        </is>
      </c>
      <c r="B258" s="1" t="n">
        <v>45236</v>
      </c>
      <c r="C258" s="1" t="n">
        <v>45952</v>
      </c>
      <c r="D258" t="inlineStr">
        <is>
          <t>ÖREBRO LÄN</t>
        </is>
      </c>
      <c r="E258" t="inlineStr">
        <is>
          <t>LAXÅ</t>
        </is>
      </c>
      <c r="F258" t="inlineStr">
        <is>
          <t>Sveaskog</t>
        </is>
      </c>
      <c r="G258" t="n">
        <v>3</v>
      </c>
      <c r="H258" t="n">
        <v>1</v>
      </c>
      <c r="I258" t="n">
        <v>0</v>
      </c>
      <c r="J258" t="n">
        <v>1</v>
      </c>
      <c r="K258" t="n">
        <v>0</v>
      </c>
      <c r="L258" t="n">
        <v>0</v>
      </c>
      <c r="M258" t="n">
        <v>0</v>
      </c>
      <c r="N258" t="n">
        <v>0</v>
      </c>
      <c r="O258" t="n">
        <v>1</v>
      </c>
      <c r="P258" t="n">
        <v>0</v>
      </c>
      <c r="Q258" t="n">
        <v>1</v>
      </c>
      <c r="R258" s="2" t="inlineStr">
        <is>
          <t>Tretåig hackspett</t>
        </is>
      </c>
      <c r="S258">
        <f>HYPERLINK("https://klasma.github.io/Logging_1860/artfynd/A 54715-2023 artfynd.xlsx", "A 54715-2023")</f>
        <v/>
      </c>
      <c r="T258">
        <f>HYPERLINK("https://klasma.github.io/Logging_1860/kartor/A 54715-2023 karta.png", "A 54715-2023")</f>
        <v/>
      </c>
      <c r="V258">
        <f>HYPERLINK("https://klasma.github.io/Logging_1860/klagomål/A 54715-2023 FSC-klagomål.docx", "A 54715-2023")</f>
        <v/>
      </c>
      <c r="W258">
        <f>HYPERLINK("https://klasma.github.io/Logging_1860/klagomålsmail/A 54715-2023 FSC-klagomål mail.docx", "A 54715-2023")</f>
        <v/>
      </c>
      <c r="X258">
        <f>HYPERLINK("https://klasma.github.io/Logging_1860/tillsyn/A 54715-2023 tillsynsbegäran.docx", "A 54715-2023")</f>
        <v/>
      </c>
      <c r="Y258">
        <f>HYPERLINK("https://klasma.github.io/Logging_1860/tillsynsmail/A 54715-2023 tillsynsbegäran mail.docx", "A 54715-2023")</f>
        <v/>
      </c>
      <c r="Z258">
        <f>HYPERLINK("https://klasma.github.io/Logging_1860/fåglar/A 54715-2023 prioriterade fågelarter.docx", "A 54715-2023")</f>
        <v/>
      </c>
    </row>
    <row r="259" ht="15" customHeight="1">
      <c r="A259" t="inlineStr">
        <is>
          <t>A 9679-2024</t>
        </is>
      </c>
      <c r="B259" s="1" t="n">
        <v>45362</v>
      </c>
      <c r="C259" s="1" t="n">
        <v>45952</v>
      </c>
      <c r="D259" t="inlineStr">
        <is>
          <t>ÖREBRO LÄN</t>
        </is>
      </c>
      <c r="E259" t="inlineStr">
        <is>
          <t>HALLSBERG</t>
        </is>
      </c>
      <c r="G259" t="n">
        <v>10.9</v>
      </c>
      <c r="H259" t="n">
        <v>0</v>
      </c>
      <c r="I259" t="n">
        <v>1</v>
      </c>
      <c r="J259" t="n">
        <v>0</v>
      </c>
      <c r="K259" t="n">
        <v>0</v>
      </c>
      <c r="L259" t="n">
        <v>0</v>
      </c>
      <c r="M259" t="n">
        <v>0</v>
      </c>
      <c r="N259" t="n">
        <v>0</v>
      </c>
      <c r="O259" t="n">
        <v>0</v>
      </c>
      <c r="P259" t="n">
        <v>0</v>
      </c>
      <c r="Q259" t="n">
        <v>1</v>
      </c>
      <c r="R259" s="2" t="inlineStr">
        <is>
          <t>Flagellkvastmossa</t>
        </is>
      </c>
      <c r="S259">
        <f>HYPERLINK("https://klasma.github.io/Logging_1861/artfynd/A 9679-2024 artfynd.xlsx", "A 9679-2024")</f>
        <v/>
      </c>
      <c r="T259">
        <f>HYPERLINK("https://klasma.github.io/Logging_1861/kartor/A 9679-2024 karta.png", "A 9679-2024")</f>
        <v/>
      </c>
      <c r="V259">
        <f>HYPERLINK("https://klasma.github.io/Logging_1861/klagomål/A 9679-2024 FSC-klagomål.docx", "A 9679-2024")</f>
        <v/>
      </c>
      <c r="W259">
        <f>HYPERLINK("https://klasma.github.io/Logging_1861/klagomålsmail/A 9679-2024 FSC-klagomål mail.docx", "A 9679-2024")</f>
        <v/>
      </c>
      <c r="X259">
        <f>HYPERLINK("https://klasma.github.io/Logging_1861/tillsyn/A 9679-2024 tillsynsbegäran.docx", "A 9679-2024")</f>
        <v/>
      </c>
      <c r="Y259">
        <f>HYPERLINK("https://klasma.github.io/Logging_1861/tillsynsmail/A 9679-2024 tillsynsbegäran mail.docx", "A 9679-2024")</f>
        <v/>
      </c>
    </row>
    <row r="260" ht="15" customHeight="1">
      <c r="A260" t="inlineStr">
        <is>
          <t>A 60162-2022</t>
        </is>
      </c>
      <c r="B260" s="1" t="n">
        <v>44909</v>
      </c>
      <c r="C260" s="1" t="n">
        <v>45952</v>
      </c>
      <c r="D260" t="inlineStr">
        <is>
          <t>ÖREBRO LÄN</t>
        </is>
      </c>
      <c r="E260" t="inlineStr">
        <is>
          <t>HÄLLEFORS</t>
        </is>
      </c>
      <c r="G260" t="n">
        <v>5.2</v>
      </c>
      <c r="H260" t="n">
        <v>1</v>
      </c>
      <c r="I260" t="n">
        <v>0</v>
      </c>
      <c r="J260" t="n">
        <v>0</v>
      </c>
      <c r="K260" t="n">
        <v>0</v>
      </c>
      <c r="L260" t="n">
        <v>0</v>
      </c>
      <c r="M260" t="n">
        <v>0</v>
      </c>
      <c r="N260" t="n">
        <v>0</v>
      </c>
      <c r="O260" t="n">
        <v>0</v>
      </c>
      <c r="P260" t="n">
        <v>0</v>
      </c>
      <c r="Q260" t="n">
        <v>1</v>
      </c>
      <c r="R260" s="2" t="inlineStr">
        <is>
          <t>Revlummer</t>
        </is>
      </c>
      <c r="S260">
        <f>HYPERLINK("https://klasma.github.io/Logging_1863/artfynd/A 60162-2022 artfynd.xlsx", "A 60162-2022")</f>
        <v/>
      </c>
      <c r="T260">
        <f>HYPERLINK("https://klasma.github.io/Logging_1863/kartor/A 60162-2022 karta.png", "A 60162-2022")</f>
        <v/>
      </c>
      <c r="V260">
        <f>HYPERLINK("https://klasma.github.io/Logging_1863/klagomål/A 60162-2022 FSC-klagomål.docx", "A 60162-2022")</f>
        <v/>
      </c>
      <c r="W260">
        <f>HYPERLINK("https://klasma.github.io/Logging_1863/klagomålsmail/A 60162-2022 FSC-klagomål mail.docx", "A 60162-2022")</f>
        <v/>
      </c>
      <c r="X260">
        <f>HYPERLINK("https://klasma.github.io/Logging_1863/tillsyn/A 60162-2022 tillsynsbegäran.docx", "A 60162-2022")</f>
        <v/>
      </c>
      <c r="Y260">
        <f>HYPERLINK("https://klasma.github.io/Logging_1863/tillsynsmail/A 60162-2022 tillsynsbegäran mail.docx", "A 60162-2022")</f>
        <v/>
      </c>
    </row>
    <row r="261" ht="15" customHeight="1">
      <c r="A261" t="inlineStr">
        <is>
          <t>A 5230-2023</t>
        </is>
      </c>
      <c r="B261" s="1" t="n">
        <v>44959</v>
      </c>
      <c r="C261" s="1" t="n">
        <v>45952</v>
      </c>
      <c r="D261" t="inlineStr">
        <is>
          <t>ÖREBRO LÄN</t>
        </is>
      </c>
      <c r="E261" t="inlineStr">
        <is>
          <t>ASKERSUND</t>
        </is>
      </c>
      <c r="G261" t="n">
        <v>5.7</v>
      </c>
      <c r="H261" t="n">
        <v>0</v>
      </c>
      <c r="I261" t="n">
        <v>0</v>
      </c>
      <c r="J261" t="n">
        <v>1</v>
      </c>
      <c r="K261" t="n">
        <v>0</v>
      </c>
      <c r="L261" t="n">
        <v>0</v>
      </c>
      <c r="M261" t="n">
        <v>0</v>
      </c>
      <c r="N261" t="n">
        <v>0</v>
      </c>
      <c r="O261" t="n">
        <v>1</v>
      </c>
      <c r="P261" t="n">
        <v>0</v>
      </c>
      <c r="Q261" t="n">
        <v>1</v>
      </c>
      <c r="R261" s="2" t="inlineStr">
        <is>
          <t>Igelkott</t>
        </is>
      </c>
      <c r="S261">
        <f>HYPERLINK("https://klasma.github.io/Logging_1882/artfynd/A 5230-2023 artfynd.xlsx", "A 5230-2023")</f>
        <v/>
      </c>
      <c r="T261">
        <f>HYPERLINK("https://klasma.github.io/Logging_1882/kartor/A 5230-2023 karta.png", "A 5230-2023")</f>
        <v/>
      </c>
      <c r="V261">
        <f>HYPERLINK("https://klasma.github.io/Logging_1882/klagomål/A 5230-2023 FSC-klagomål.docx", "A 5230-2023")</f>
        <v/>
      </c>
      <c r="W261">
        <f>HYPERLINK("https://klasma.github.io/Logging_1882/klagomålsmail/A 5230-2023 FSC-klagomål mail.docx", "A 5230-2023")</f>
        <v/>
      </c>
      <c r="X261">
        <f>HYPERLINK("https://klasma.github.io/Logging_1882/tillsyn/A 5230-2023 tillsynsbegäran.docx", "A 5230-2023")</f>
        <v/>
      </c>
      <c r="Y261">
        <f>HYPERLINK("https://klasma.github.io/Logging_1882/tillsynsmail/A 5230-2023 tillsynsbegäran mail.docx", "A 5230-2023")</f>
        <v/>
      </c>
    </row>
    <row r="262" ht="15" customHeight="1">
      <c r="A262" t="inlineStr">
        <is>
          <t>A 10507-2025</t>
        </is>
      </c>
      <c r="B262" s="1" t="n">
        <v>45721.39129629629</v>
      </c>
      <c r="C262" s="1" t="n">
        <v>45952</v>
      </c>
      <c r="D262" t="inlineStr">
        <is>
          <t>ÖREBRO LÄN</t>
        </is>
      </c>
      <c r="E262" t="inlineStr">
        <is>
          <t>LEKEBERG</t>
        </is>
      </c>
      <c r="F262" t="inlineStr">
        <is>
          <t>Sveaskog</t>
        </is>
      </c>
      <c r="G262" t="n">
        <v>10.4</v>
      </c>
      <c r="H262" t="n">
        <v>1</v>
      </c>
      <c r="I262" t="n">
        <v>0</v>
      </c>
      <c r="J262" t="n">
        <v>0</v>
      </c>
      <c r="K262" t="n">
        <v>0</v>
      </c>
      <c r="L262" t="n">
        <v>0</v>
      </c>
      <c r="M262" t="n">
        <v>0</v>
      </c>
      <c r="N262" t="n">
        <v>0</v>
      </c>
      <c r="O262" t="n">
        <v>0</v>
      </c>
      <c r="P262" t="n">
        <v>0</v>
      </c>
      <c r="Q262" t="n">
        <v>1</v>
      </c>
      <c r="R262" s="2" t="inlineStr">
        <is>
          <t>Kungsfågel</t>
        </is>
      </c>
      <c r="S262">
        <f>HYPERLINK("https://klasma.github.io/Logging_1814/artfynd/A 10507-2025 artfynd.xlsx", "A 10507-2025")</f>
        <v/>
      </c>
      <c r="T262">
        <f>HYPERLINK("https://klasma.github.io/Logging_1814/kartor/A 10507-2025 karta.png", "A 10507-2025")</f>
        <v/>
      </c>
      <c r="V262">
        <f>HYPERLINK("https://klasma.github.io/Logging_1814/klagomål/A 10507-2025 FSC-klagomål.docx", "A 10507-2025")</f>
        <v/>
      </c>
      <c r="W262">
        <f>HYPERLINK("https://klasma.github.io/Logging_1814/klagomålsmail/A 10507-2025 FSC-klagomål mail.docx", "A 10507-2025")</f>
        <v/>
      </c>
      <c r="X262">
        <f>HYPERLINK("https://klasma.github.io/Logging_1814/tillsyn/A 10507-2025 tillsynsbegäran.docx", "A 10507-2025")</f>
        <v/>
      </c>
      <c r="Y262">
        <f>HYPERLINK("https://klasma.github.io/Logging_1814/tillsynsmail/A 10507-2025 tillsynsbegäran mail.docx", "A 10507-2025")</f>
        <v/>
      </c>
      <c r="Z262">
        <f>HYPERLINK("https://klasma.github.io/Logging_1814/fåglar/A 10507-2025 prioriterade fågelarter.docx", "A 10507-2025")</f>
        <v/>
      </c>
    </row>
    <row r="263" ht="15" customHeight="1">
      <c r="A263" t="inlineStr">
        <is>
          <t>A 59657-2022</t>
        </is>
      </c>
      <c r="B263" s="1" t="n">
        <v>44908.25326388889</v>
      </c>
      <c r="C263" s="1" t="n">
        <v>45952</v>
      </c>
      <c r="D263" t="inlineStr">
        <is>
          <t>ÖREBRO LÄN</t>
        </is>
      </c>
      <c r="E263" t="inlineStr">
        <is>
          <t>LAXÅ</t>
        </is>
      </c>
      <c r="G263" t="n">
        <v>3.3</v>
      </c>
      <c r="H263" t="n">
        <v>0</v>
      </c>
      <c r="I263" t="n">
        <v>0</v>
      </c>
      <c r="J263" t="n">
        <v>1</v>
      </c>
      <c r="K263" t="n">
        <v>0</v>
      </c>
      <c r="L263" t="n">
        <v>0</v>
      </c>
      <c r="M263" t="n">
        <v>0</v>
      </c>
      <c r="N263" t="n">
        <v>0</v>
      </c>
      <c r="O263" t="n">
        <v>1</v>
      </c>
      <c r="P263" t="n">
        <v>0</v>
      </c>
      <c r="Q263" t="n">
        <v>1</v>
      </c>
      <c r="R263" s="2" t="inlineStr">
        <is>
          <t>Svinrot</t>
        </is>
      </c>
      <c r="S263">
        <f>HYPERLINK("https://klasma.github.io/Logging_1860/artfynd/A 59657-2022 artfynd.xlsx", "A 59657-2022")</f>
        <v/>
      </c>
      <c r="T263">
        <f>HYPERLINK("https://klasma.github.io/Logging_1860/kartor/A 59657-2022 karta.png", "A 59657-2022")</f>
        <v/>
      </c>
      <c r="V263">
        <f>HYPERLINK("https://klasma.github.io/Logging_1860/klagomål/A 59657-2022 FSC-klagomål.docx", "A 59657-2022")</f>
        <v/>
      </c>
      <c r="W263">
        <f>HYPERLINK("https://klasma.github.io/Logging_1860/klagomålsmail/A 59657-2022 FSC-klagomål mail.docx", "A 59657-2022")</f>
        <v/>
      </c>
      <c r="X263">
        <f>HYPERLINK("https://klasma.github.io/Logging_1860/tillsyn/A 59657-2022 tillsynsbegäran.docx", "A 59657-2022")</f>
        <v/>
      </c>
      <c r="Y263">
        <f>HYPERLINK("https://klasma.github.io/Logging_1860/tillsynsmail/A 59657-2022 tillsynsbegäran mail.docx", "A 59657-2022")</f>
        <v/>
      </c>
    </row>
    <row r="264" ht="15" customHeight="1">
      <c r="A264" t="inlineStr">
        <is>
          <t>A 33297-2023</t>
        </is>
      </c>
      <c r="B264" s="1" t="n">
        <v>45116</v>
      </c>
      <c r="C264" s="1" t="n">
        <v>45952</v>
      </c>
      <c r="D264" t="inlineStr">
        <is>
          <t>ÖREBRO LÄN</t>
        </is>
      </c>
      <c r="E264" t="inlineStr">
        <is>
          <t>DEGERFORS</t>
        </is>
      </c>
      <c r="G264" t="n">
        <v>7.2</v>
      </c>
      <c r="H264" t="n">
        <v>0</v>
      </c>
      <c r="I264" t="n">
        <v>0</v>
      </c>
      <c r="J264" t="n">
        <v>1</v>
      </c>
      <c r="K264" t="n">
        <v>0</v>
      </c>
      <c r="L264" t="n">
        <v>0</v>
      </c>
      <c r="M264" t="n">
        <v>0</v>
      </c>
      <c r="N264" t="n">
        <v>0</v>
      </c>
      <c r="O264" t="n">
        <v>1</v>
      </c>
      <c r="P264" t="n">
        <v>0</v>
      </c>
      <c r="Q264" t="n">
        <v>1</v>
      </c>
      <c r="R264" s="2" t="inlineStr">
        <is>
          <t>Igelkott</t>
        </is>
      </c>
      <c r="S264">
        <f>HYPERLINK("https://klasma.github.io/Logging_1862/artfynd/A 33297-2023 artfynd.xlsx", "A 33297-2023")</f>
        <v/>
      </c>
      <c r="T264">
        <f>HYPERLINK("https://klasma.github.io/Logging_1862/kartor/A 33297-2023 karta.png", "A 33297-2023")</f>
        <v/>
      </c>
      <c r="V264">
        <f>HYPERLINK("https://klasma.github.io/Logging_1862/klagomål/A 33297-2023 FSC-klagomål.docx", "A 33297-2023")</f>
        <v/>
      </c>
      <c r="W264">
        <f>HYPERLINK("https://klasma.github.io/Logging_1862/klagomålsmail/A 33297-2023 FSC-klagomål mail.docx", "A 33297-2023")</f>
        <v/>
      </c>
      <c r="X264">
        <f>HYPERLINK("https://klasma.github.io/Logging_1862/tillsyn/A 33297-2023 tillsynsbegäran.docx", "A 33297-2023")</f>
        <v/>
      </c>
      <c r="Y264">
        <f>HYPERLINK("https://klasma.github.io/Logging_1862/tillsynsmail/A 33297-2023 tillsynsbegäran mail.docx", "A 33297-2023")</f>
        <v/>
      </c>
    </row>
    <row r="265" ht="15" customHeight="1">
      <c r="A265" t="inlineStr">
        <is>
          <t>A 9690-2024</t>
        </is>
      </c>
      <c r="B265" s="1" t="n">
        <v>45362</v>
      </c>
      <c r="C265" s="1" t="n">
        <v>45952</v>
      </c>
      <c r="D265" t="inlineStr">
        <is>
          <t>ÖREBRO LÄN</t>
        </is>
      </c>
      <c r="E265" t="inlineStr">
        <is>
          <t>LEKEBERG</t>
        </is>
      </c>
      <c r="G265" t="n">
        <v>1.8</v>
      </c>
      <c r="H265" t="n">
        <v>1</v>
      </c>
      <c r="I265" t="n">
        <v>0</v>
      </c>
      <c r="J265" t="n">
        <v>1</v>
      </c>
      <c r="K265" t="n">
        <v>0</v>
      </c>
      <c r="L265" t="n">
        <v>0</v>
      </c>
      <c r="M265" t="n">
        <v>0</v>
      </c>
      <c r="N265" t="n">
        <v>0</v>
      </c>
      <c r="O265" t="n">
        <v>1</v>
      </c>
      <c r="P265" t="n">
        <v>0</v>
      </c>
      <c r="Q265" t="n">
        <v>1</v>
      </c>
      <c r="R265" s="2" t="inlineStr">
        <is>
          <t>Spillkråka</t>
        </is>
      </c>
      <c r="S265">
        <f>HYPERLINK("https://klasma.github.io/Logging_1814/artfynd/A 9690-2024 artfynd.xlsx", "A 9690-2024")</f>
        <v/>
      </c>
      <c r="T265">
        <f>HYPERLINK("https://klasma.github.io/Logging_1814/kartor/A 9690-2024 karta.png", "A 9690-2024")</f>
        <v/>
      </c>
      <c r="V265">
        <f>HYPERLINK("https://klasma.github.io/Logging_1814/klagomål/A 9690-2024 FSC-klagomål.docx", "A 9690-2024")</f>
        <v/>
      </c>
      <c r="W265">
        <f>HYPERLINK("https://klasma.github.io/Logging_1814/klagomålsmail/A 9690-2024 FSC-klagomål mail.docx", "A 9690-2024")</f>
        <v/>
      </c>
      <c r="X265">
        <f>HYPERLINK("https://klasma.github.io/Logging_1814/tillsyn/A 9690-2024 tillsynsbegäran.docx", "A 9690-2024")</f>
        <v/>
      </c>
      <c r="Y265">
        <f>HYPERLINK("https://klasma.github.io/Logging_1814/tillsynsmail/A 9690-2024 tillsynsbegäran mail.docx", "A 9690-2024")</f>
        <v/>
      </c>
      <c r="Z265">
        <f>HYPERLINK("https://klasma.github.io/Logging_1814/fåglar/A 9690-2024 prioriterade fågelarter.docx", "A 9690-2024")</f>
        <v/>
      </c>
    </row>
    <row r="266" ht="15" customHeight="1">
      <c r="A266" t="inlineStr">
        <is>
          <t>A 16642-2024</t>
        </is>
      </c>
      <c r="B266" s="1" t="n">
        <v>45408.61318287037</v>
      </c>
      <c r="C266" s="1" t="n">
        <v>45952</v>
      </c>
      <c r="D266" t="inlineStr">
        <is>
          <t>ÖREBRO LÄN</t>
        </is>
      </c>
      <c r="E266" t="inlineStr">
        <is>
          <t>NORA</t>
        </is>
      </c>
      <c r="F266" t="inlineStr">
        <is>
          <t>Sveaskog</t>
        </is>
      </c>
      <c r="G266" t="n">
        <v>4</v>
      </c>
      <c r="H266" t="n">
        <v>1</v>
      </c>
      <c r="I266" t="n">
        <v>0</v>
      </c>
      <c r="J266" t="n">
        <v>0</v>
      </c>
      <c r="K266" t="n">
        <v>0</v>
      </c>
      <c r="L266" t="n">
        <v>0</v>
      </c>
      <c r="M266" t="n">
        <v>0</v>
      </c>
      <c r="N266" t="n">
        <v>0</v>
      </c>
      <c r="O266" t="n">
        <v>0</v>
      </c>
      <c r="P266" t="n">
        <v>0</v>
      </c>
      <c r="Q266" t="n">
        <v>1</v>
      </c>
      <c r="R266" s="2" t="inlineStr">
        <is>
          <t>Blåsippa</t>
        </is>
      </c>
      <c r="S266">
        <f>HYPERLINK("https://klasma.github.io/Logging_1884/artfynd/A 16642-2024 artfynd.xlsx", "A 16642-2024")</f>
        <v/>
      </c>
      <c r="T266">
        <f>HYPERLINK("https://klasma.github.io/Logging_1884/kartor/A 16642-2024 karta.png", "A 16642-2024")</f>
        <v/>
      </c>
      <c r="V266">
        <f>HYPERLINK("https://klasma.github.io/Logging_1884/klagomål/A 16642-2024 FSC-klagomål.docx", "A 16642-2024")</f>
        <v/>
      </c>
      <c r="W266">
        <f>HYPERLINK("https://klasma.github.io/Logging_1884/klagomålsmail/A 16642-2024 FSC-klagomål mail.docx", "A 16642-2024")</f>
        <v/>
      </c>
      <c r="X266">
        <f>HYPERLINK("https://klasma.github.io/Logging_1884/tillsyn/A 16642-2024 tillsynsbegäran.docx", "A 16642-2024")</f>
        <v/>
      </c>
      <c r="Y266">
        <f>HYPERLINK("https://klasma.github.io/Logging_1884/tillsynsmail/A 16642-2024 tillsynsbegäran mail.docx", "A 16642-2024")</f>
        <v/>
      </c>
    </row>
    <row r="267" ht="15" customHeight="1">
      <c r="A267" t="inlineStr">
        <is>
          <t>A 1520-2025</t>
        </is>
      </c>
      <c r="B267" s="1" t="n">
        <v>45670</v>
      </c>
      <c r="C267" s="1" t="n">
        <v>45952</v>
      </c>
      <c r="D267" t="inlineStr">
        <is>
          <t>ÖREBRO LÄN</t>
        </is>
      </c>
      <c r="E267" t="inlineStr">
        <is>
          <t>NORA</t>
        </is>
      </c>
      <c r="G267" t="n">
        <v>5.9</v>
      </c>
      <c r="H267" t="n">
        <v>0</v>
      </c>
      <c r="I267" t="n">
        <v>0</v>
      </c>
      <c r="J267" t="n">
        <v>1</v>
      </c>
      <c r="K267" t="n">
        <v>0</v>
      </c>
      <c r="L267" t="n">
        <v>0</v>
      </c>
      <c r="M267" t="n">
        <v>0</v>
      </c>
      <c r="N267" t="n">
        <v>0</v>
      </c>
      <c r="O267" t="n">
        <v>1</v>
      </c>
      <c r="P267" t="n">
        <v>0</v>
      </c>
      <c r="Q267" t="n">
        <v>1</v>
      </c>
      <c r="R267" s="2" t="inlineStr">
        <is>
          <t>Svinrot</t>
        </is>
      </c>
      <c r="S267">
        <f>HYPERLINK("https://klasma.github.io/Logging_1884/artfynd/A 1520-2025 artfynd.xlsx", "A 1520-2025")</f>
        <v/>
      </c>
      <c r="T267">
        <f>HYPERLINK("https://klasma.github.io/Logging_1884/kartor/A 1520-2025 karta.png", "A 1520-2025")</f>
        <v/>
      </c>
      <c r="V267">
        <f>HYPERLINK("https://klasma.github.io/Logging_1884/klagomål/A 1520-2025 FSC-klagomål.docx", "A 1520-2025")</f>
        <v/>
      </c>
      <c r="W267">
        <f>HYPERLINK("https://klasma.github.io/Logging_1884/klagomålsmail/A 1520-2025 FSC-klagomål mail.docx", "A 1520-2025")</f>
        <v/>
      </c>
      <c r="X267">
        <f>HYPERLINK("https://klasma.github.io/Logging_1884/tillsyn/A 1520-2025 tillsynsbegäran.docx", "A 1520-2025")</f>
        <v/>
      </c>
      <c r="Y267">
        <f>HYPERLINK("https://klasma.github.io/Logging_1884/tillsynsmail/A 1520-2025 tillsynsbegäran mail.docx", "A 1520-2025")</f>
        <v/>
      </c>
    </row>
    <row r="268" ht="15" customHeight="1">
      <c r="A268" t="inlineStr">
        <is>
          <t>A 11637-2025</t>
        </is>
      </c>
      <c r="B268" s="1" t="n">
        <v>45727.46729166667</v>
      </c>
      <c r="C268" s="1" t="n">
        <v>45952</v>
      </c>
      <c r="D268" t="inlineStr">
        <is>
          <t>ÖREBRO LÄN</t>
        </is>
      </c>
      <c r="E268" t="inlineStr">
        <is>
          <t>LEKEBERG</t>
        </is>
      </c>
      <c r="F268" t="inlineStr">
        <is>
          <t>Sveaskog</t>
        </is>
      </c>
      <c r="G268" t="n">
        <v>2.1</v>
      </c>
      <c r="H268" t="n">
        <v>0</v>
      </c>
      <c r="I268" t="n">
        <v>0</v>
      </c>
      <c r="J268" t="n">
        <v>0</v>
      </c>
      <c r="K268" t="n">
        <v>0</v>
      </c>
      <c r="L268" t="n">
        <v>1</v>
      </c>
      <c r="M268" t="n">
        <v>0</v>
      </c>
      <c r="N268" t="n">
        <v>0</v>
      </c>
      <c r="O268" t="n">
        <v>1</v>
      </c>
      <c r="P268" t="n">
        <v>1</v>
      </c>
      <c r="Q268" t="n">
        <v>1</v>
      </c>
      <c r="R268" s="2" t="inlineStr">
        <is>
          <t>Ask</t>
        </is>
      </c>
      <c r="S268">
        <f>HYPERLINK("https://klasma.github.io/Logging_1814/artfynd/A 11637-2025 artfynd.xlsx", "A 11637-2025")</f>
        <v/>
      </c>
      <c r="T268">
        <f>HYPERLINK("https://klasma.github.io/Logging_1814/kartor/A 11637-2025 karta.png", "A 11637-2025")</f>
        <v/>
      </c>
      <c r="V268">
        <f>HYPERLINK("https://klasma.github.io/Logging_1814/klagomål/A 11637-2025 FSC-klagomål.docx", "A 11637-2025")</f>
        <v/>
      </c>
      <c r="W268">
        <f>HYPERLINK("https://klasma.github.io/Logging_1814/klagomålsmail/A 11637-2025 FSC-klagomål mail.docx", "A 11637-2025")</f>
        <v/>
      </c>
      <c r="X268">
        <f>HYPERLINK("https://klasma.github.io/Logging_1814/tillsyn/A 11637-2025 tillsynsbegäran.docx", "A 11637-2025")</f>
        <v/>
      </c>
      <c r="Y268">
        <f>HYPERLINK("https://klasma.github.io/Logging_1814/tillsynsmail/A 11637-2025 tillsynsbegäran mail.docx", "A 11637-2025")</f>
        <v/>
      </c>
    </row>
    <row r="269" ht="15" customHeight="1">
      <c r="A269" t="inlineStr">
        <is>
          <t>A 35540-2023</t>
        </is>
      </c>
      <c r="B269" s="1" t="n">
        <v>45147</v>
      </c>
      <c r="C269" s="1" t="n">
        <v>45952</v>
      </c>
      <c r="D269" t="inlineStr">
        <is>
          <t>ÖREBRO LÄN</t>
        </is>
      </c>
      <c r="E269" t="inlineStr">
        <is>
          <t>LAXÅ</t>
        </is>
      </c>
      <c r="G269" t="n">
        <v>6.4</v>
      </c>
      <c r="H269" t="n">
        <v>0</v>
      </c>
      <c r="I269" t="n">
        <v>1</v>
      </c>
      <c r="J269" t="n">
        <v>0</v>
      </c>
      <c r="K269" t="n">
        <v>0</v>
      </c>
      <c r="L269" t="n">
        <v>0</v>
      </c>
      <c r="M269" t="n">
        <v>0</v>
      </c>
      <c r="N269" t="n">
        <v>0</v>
      </c>
      <c r="O269" t="n">
        <v>0</v>
      </c>
      <c r="P269" t="n">
        <v>0</v>
      </c>
      <c r="Q269" t="n">
        <v>1</v>
      </c>
      <c r="R269" s="2" t="inlineStr">
        <is>
          <t>Vedticka</t>
        </is>
      </c>
      <c r="S269">
        <f>HYPERLINK("https://klasma.github.io/Logging_1860/artfynd/A 35540-2023 artfynd.xlsx", "A 35540-2023")</f>
        <v/>
      </c>
      <c r="T269">
        <f>HYPERLINK("https://klasma.github.io/Logging_1860/kartor/A 35540-2023 karta.png", "A 35540-2023")</f>
        <v/>
      </c>
      <c r="V269">
        <f>HYPERLINK("https://klasma.github.io/Logging_1860/klagomål/A 35540-2023 FSC-klagomål.docx", "A 35540-2023")</f>
        <v/>
      </c>
      <c r="W269">
        <f>HYPERLINK("https://klasma.github.io/Logging_1860/klagomålsmail/A 35540-2023 FSC-klagomål mail.docx", "A 35540-2023")</f>
        <v/>
      </c>
      <c r="X269">
        <f>HYPERLINK("https://klasma.github.io/Logging_1860/tillsyn/A 35540-2023 tillsynsbegäran.docx", "A 35540-2023")</f>
        <v/>
      </c>
      <c r="Y269">
        <f>HYPERLINK("https://klasma.github.io/Logging_1860/tillsynsmail/A 35540-2023 tillsynsbegäran mail.docx", "A 35540-2023")</f>
        <v/>
      </c>
    </row>
    <row r="270" ht="15" customHeight="1">
      <c r="A270" t="inlineStr">
        <is>
          <t>A 53598-2024</t>
        </is>
      </c>
      <c r="B270" s="1" t="n">
        <v>45614.68287037037</v>
      </c>
      <c r="C270" s="1" t="n">
        <v>45952</v>
      </c>
      <c r="D270" t="inlineStr">
        <is>
          <t>ÖREBRO LÄN</t>
        </is>
      </c>
      <c r="E270" t="inlineStr">
        <is>
          <t>LINDESBERG</t>
        </is>
      </c>
      <c r="G270" t="n">
        <v>3.1</v>
      </c>
      <c r="H270" t="n">
        <v>1</v>
      </c>
      <c r="I270" t="n">
        <v>0</v>
      </c>
      <c r="J270" t="n">
        <v>0</v>
      </c>
      <c r="K270" t="n">
        <v>0</v>
      </c>
      <c r="L270" t="n">
        <v>1</v>
      </c>
      <c r="M270" t="n">
        <v>0</v>
      </c>
      <c r="N270" t="n">
        <v>0</v>
      </c>
      <c r="O270" t="n">
        <v>1</v>
      </c>
      <c r="P270" t="n">
        <v>1</v>
      </c>
      <c r="Q270" t="n">
        <v>1</v>
      </c>
      <c r="R270" s="2" t="inlineStr">
        <is>
          <t>Asknätfjäril</t>
        </is>
      </c>
      <c r="S270">
        <f>HYPERLINK("https://klasma.github.io/Logging_1885/artfynd/A 53598-2024 artfynd.xlsx", "A 53598-2024")</f>
        <v/>
      </c>
      <c r="T270">
        <f>HYPERLINK("https://klasma.github.io/Logging_1885/kartor/A 53598-2024 karta.png", "A 53598-2024")</f>
        <v/>
      </c>
      <c r="V270">
        <f>HYPERLINK("https://klasma.github.io/Logging_1885/klagomål/A 53598-2024 FSC-klagomål.docx", "A 53598-2024")</f>
        <v/>
      </c>
      <c r="W270">
        <f>HYPERLINK("https://klasma.github.io/Logging_1885/klagomålsmail/A 53598-2024 FSC-klagomål mail.docx", "A 53598-2024")</f>
        <v/>
      </c>
      <c r="X270">
        <f>HYPERLINK("https://klasma.github.io/Logging_1885/tillsyn/A 53598-2024 tillsynsbegäran.docx", "A 53598-2024")</f>
        <v/>
      </c>
      <c r="Y270">
        <f>HYPERLINK("https://klasma.github.io/Logging_1885/tillsynsmail/A 53598-2024 tillsynsbegäran mail.docx", "A 53598-2024")</f>
        <v/>
      </c>
    </row>
    <row r="271" ht="15" customHeight="1">
      <c r="A271" t="inlineStr">
        <is>
          <t>A 24791-2024</t>
        </is>
      </c>
      <c r="B271" s="1" t="n">
        <v>45460</v>
      </c>
      <c r="C271" s="1" t="n">
        <v>45952</v>
      </c>
      <c r="D271" t="inlineStr">
        <is>
          <t>ÖREBRO LÄN</t>
        </is>
      </c>
      <c r="E271" t="inlineStr">
        <is>
          <t>LJUSNARSBERG</t>
        </is>
      </c>
      <c r="G271" t="n">
        <v>3.9</v>
      </c>
      <c r="H271" t="n">
        <v>1</v>
      </c>
      <c r="I271" t="n">
        <v>0</v>
      </c>
      <c r="J271" t="n">
        <v>1</v>
      </c>
      <c r="K271" t="n">
        <v>0</v>
      </c>
      <c r="L271" t="n">
        <v>0</v>
      </c>
      <c r="M271" t="n">
        <v>0</v>
      </c>
      <c r="N271" t="n">
        <v>0</v>
      </c>
      <c r="O271" t="n">
        <v>1</v>
      </c>
      <c r="P271" t="n">
        <v>0</v>
      </c>
      <c r="Q271" t="n">
        <v>1</v>
      </c>
      <c r="R271" s="2" t="inlineStr">
        <is>
          <t>Spillkråka</t>
        </is>
      </c>
      <c r="S271">
        <f>HYPERLINK("https://klasma.github.io/Logging_1864/artfynd/A 24791-2024 artfynd.xlsx", "A 24791-2024")</f>
        <v/>
      </c>
      <c r="T271">
        <f>HYPERLINK("https://klasma.github.io/Logging_1864/kartor/A 24791-2024 karta.png", "A 24791-2024")</f>
        <v/>
      </c>
      <c r="V271">
        <f>HYPERLINK("https://klasma.github.io/Logging_1864/klagomål/A 24791-2024 FSC-klagomål.docx", "A 24791-2024")</f>
        <v/>
      </c>
      <c r="W271">
        <f>HYPERLINK("https://klasma.github.io/Logging_1864/klagomålsmail/A 24791-2024 FSC-klagomål mail.docx", "A 24791-2024")</f>
        <v/>
      </c>
      <c r="X271">
        <f>HYPERLINK("https://klasma.github.io/Logging_1864/tillsyn/A 24791-2024 tillsynsbegäran.docx", "A 24791-2024")</f>
        <v/>
      </c>
      <c r="Y271">
        <f>HYPERLINK("https://klasma.github.io/Logging_1864/tillsynsmail/A 24791-2024 tillsynsbegäran mail.docx", "A 24791-2024")</f>
        <v/>
      </c>
      <c r="Z271">
        <f>HYPERLINK("https://klasma.github.io/Logging_1864/fåglar/A 24791-2024 prioriterade fågelarter.docx", "A 24791-2024")</f>
        <v/>
      </c>
    </row>
    <row r="272" ht="15" customHeight="1">
      <c r="A272" t="inlineStr">
        <is>
          <t>A 51319-2021</t>
        </is>
      </c>
      <c r="B272" s="1" t="n">
        <v>44461</v>
      </c>
      <c r="C272" s="1" t="n">
        <v>45952</v>
      </c>
      <c r="D272" t="inlineStr">
        <is>
          <t>ÖREBRO LÄN</t>
        </is>
      </c>
      <c r="E272" t="inlineStr">
        <is>
          <t>ASKERSUND</t>
        </is>
      </c>
      <c r="F272" t="inlineStr">
        <is>
          <t>Sveaskog</t>
        </is>
      </c>
      <c r="G272" t="n">
        <v>2</v>
      </c>
      <c r="H272" t="n">
        <v>0</v>
      </c>
      <c r="I272" t="n">
        <v>0</v>
      </c>
      <c r="J272" t="n">
        <v>1</v>
      </c>
      <c r="K272" t="n">
        <v>0</v>
      </c>
      <c r="L272" t="n">
        <v>0</v>
      </c>
      <c r="M272" t="n">
        <v>0</v>
      </c>
      <c r="N272" t="n">
        <v>0</v>
      </c>
      <c r="O272" t="n">
        <v>1</v>
      </c>
      <c r="P272" t="n">
        <v>0</v>
      </c>
      <c r="Q272" t="n">
        <v>1</v>
      </c>
      <c r="R272" s="2" t="inlineStr">
        <is>
          <t>Sexfläckig bastardsvärmare</t>
        </is>
      </c>
      <c r="S272">
        <f>HYPERLINK("https://klasma.github.io/Logging_1882/artfynd/A 51319-2021 artfynd.xlsx", "A 51319-2021")</f>
        <v/>
      </c>
      <c r="T272">
        <f>HYPERLINK("https://klasma.github.io/Logging_1882/kartor/A 51319-2021 karta.png", "A 51319-2021")</f>
        <v/>
      </c>
      <c r="V272">
        <f>HYPERLINK("https://klasma.github.io/Logging_1882/klagomål/A 51319-2021 FSC-klagomål.docx", "A 51319-2021")</f>
        <v/>
      </c>
      <c r="W272">
        <f>HYPERLINK("https://klasma.github.io/Logging_1882/klagomålsmail/A 51319-2021 FSC-klagomål mail.docx", "A 51319-2021")</f>
        <v/>
      </c>
      <c r="X272">
        <f>HYPERLINK("https://klasma.github.io/Logging_1882/tillsyn/A 51319-2021 tillsynsbegäran.docx", "A 51319-2021")</f>
        <v/>
      </c>
      <c r="Y272">
        <f>HYPERLINK("https://klasma.github.io/Logging_1882/tillsynsmail/A 51319-2021 tillsynsbegäran mail.docx", "A 51319-2021")</f>
        <v/>
      </c>
    </row>
    <row r="273" ht="15" customHeight="1">
      <c r="A273" t="inlineStr">
        <is>
          <t>A 4014-2021</t>
        </is>
      </c>
      <c r="B273" s="1" t="n">
        <v>44218</v>
      </c>
      <c r="C273" s="1" t="n">
        <v>45952</v>
      </c>
      <c r="D273" t="inlineStr">
        <is>
          <t>ÖREBRO LÄN</t>
        </is>
      </c>
      <c r="E273" t="inlineStr">
        <is>
          <t>ÖREBRO</t>
        </is>
      </c>
      <c r="G273" t="n">
        <v>10.5</v>
      </c>
      <c r="H273" t="n">
        <v>0</v>
      </c>
      <c r="I273" t="n">
        <v>1</v>
      </c>
      <c r="J273" t="n">
        <v>0</v>
      </c>
      <c r="K273" t="n">
        <v>0</v>
      </c>
      <c r="L273" t="n">
        <v>0</v>
      </c>
      <c r="M273" t="n">
        <v>0</v>
      </c>
      <c r="N273" t="n">
        <v>0</v>
      </c>
      <c r="O273" t="n">
        <v>0</v>
      </c>
      <c r="P273" t="n">
        <v>0</v>
      </c>
      <c r="Q273" t="n">
        <v>1</v>
      </c>
      <c r="R273" s="2" t="inlineStr">
        <is>
          <t>Springkorn</t>
        </is>
      </c>
      <c r="S273">
        <f>HYPERLINK("https://klasma.github.io/Logging_1880/artfynd/A 4014-2021 artfynd.xlsx", "A 4014-2021")</f>
        <v/>
      </c>
      <c r="T273">
        <f>HYPERLINK("https://klasma.github.io/Logging_1880/kartor/A 4014-2021 karta.png", "A 4014-2021")</f>
        <v/>
      </c>
      <c r="V273">
        <f>HYPERLINK("https://klasma.github.io/Logging_1880/klagomål/A 4014-2021 FSC-klagomål.docx", "A 4014-2021")</f>
        <v/>
      </c>
      <c r="W273">
        <f>HYPERLINK("https://klasma.github.io/Logging_1880/klagomålsmail/A 4014-2021 FSC-klagomål mail.docx", "A 4014-2021")</f>
        <v/>
      </c>
      <c r="X273">
        <f>HYPERLINK("https://klasma.github.io/Logging_1880/tillsyn/A 4014-2021 tillsynsbegäran.docx", "A 4014-2021")</f>
        <v/>
      </c>
      <c r="Y273">
        <f>HYPERLINK("https://klasma.github.io/Logging_1880/tillsynsmail/A 4014-2021 tillsynsbegäran mail.docx", "A 4014-2021")</f>
        <v/>
      </c>
    </row>
    <row r="274" ht="15" customHeight="1">
      <c r="A274" t="inlineStr">
        <is>
          <t>A 1615-2023</t>
        </is>
      </c>
      <c r="B274" s="1" t="n">
        <v>44937</v>
      </c>
      <c r="C274" s="1" t="n">
        <v>45952</v>
      </c>
      <c r="D274" t="inlineStr">
        <is>
          <t>ÖREBRO LÄN</t>
        </is>
      </c>
      <c r="E274" t="inlineStr">
        <is>
          <t>HALLSBERG</t>
        </is>
      </c>
      <c r="F274" t="inlineStr">
        <is>
          <t>Allmännings- och besparingsskogar</t>
        </is>
      </c>
      <c r="G274" t="n">
        <v>5.4</v>
      </c>
      <c r="H274" t="n">
        <v>1</v>
      </c>
      <c r="I274" t="n">
        <v>0</v>
      </c>
      <c r="J274" t="n">
        <v>1</v>
      </c>
      <c r="K274" t="n">
        <v>0</v>
      </c>
      <c r="L274" t="n">
        <v>0</v>
      </c>
      <c r="M274" t="n">
        <v>0</v>
      </c>
      <c r="N274" t="n">
        <v>0</v>
      </c>
      <c r="O274" t="n">
        <v>1</v>
      </c>
      <c r="P274" t="n">
        <v>0</v>
      </c>
      <c r="Q274" t="n">
        <v>1</v>
      </c>
      <c r="R274" s="2" t="inlineStr">
        <is>
          <t>Talltita</t>
        </is>
      </c>
      <c r="S274">
        <f>HYPERLINK("https://klasma.github.io/Logging_1861/artfynd/A 1615-2023 artfynd.xlsx", "A 1615-2023")</f>
        <v/>
      </c>
      <c r="T274">
        <f>HYPERLINK("https://klasma.github.io/Logging_1861/kartor/A 1615-2023 karta.png", "A 1615-2023")</f>
        <v/>
      </c>
      <c r="V274">
        <f>HYPERLINK("https://klasma.github.io/Logging_1861/klagomål/A 1615-2023 FSC-klagomål.docx", "A 1615-2023")</f>
        <v/>
      </c>
      <c r="W274">
        <f>HYPERLINK("https://klasma.github.io/Logging_1861/klagomålsmail/A 1615-2023 FSC-klagomål mail.docx", "A 1615-2023")</f>
        <v/>
      </c>
      <c r="X274">
        <f>HYPERLINK("https://klasma.github.io/Logging_1861/tillsyn/A 1615-2023 tillsynsbegäran.docx", "A 1615-2023")</f>
        <v/>
      </c>
      <c r="Y274">
        <f>HYPERLINK("https://klasma.github.io/Logging_1861/tillsynsmail/A 1615-2023 tillsynsbegäran mail.docx", "A 1615-2023")</f>
        <v/>
      </c>
      <c r="Z274">
        <f>HYPERLINK("https://klasma.github.io/Logging_1861/fåglar/A 1615-2023 prioriterade fågelarter.docx", "A 1615-2023")</f>
        <v/>
      </c>
    </row>
    <row r="275" ht="15" customHeight="1">
      <c r="A275" t="inlineStr">
        <is>
          <t>A 44744-2024</t>
        </is>
      </c>
      <c r="B275" s="1" t="n">
        <v>45574.59789351852</v>
      </c>
      <c r="C275" s="1" t="n">
        <v>45952</v>
      </c>
      <c r="D275" t="inlineStr">
        <is>
          <t>ÖREBRO LÄN</t>
        </is>
      </c>
      <c r="E275" t="inlineStr">
        <is>
          <t>ÖREBRO</t>
        </is>
      </c>
      <c r="G275" t="n">
        <v>11.6</v>
      </c>
      <c r="H275" t="n">
        <v>1</v>
      </c>
      <c r="I275" t="n">
        <v>0</v>
      </c>
      <c r="J275" t="n">
        <v>0</v>
      </c>
      <c r="K275" t="n">
        <v>0</v>
      </c>
      <c r="L275" t="n">
        <v>0</v>
      </c>
      <c r="M275" t="n">
        <v>0</v>
      </c>
      <c r="N275" t="n">
        <v>0</v>
      </c>
      <c r="O275" t="n">
        <v>0</v>
      </c>
      <c r="P275" t="n">
        <v>0</v>
      </c>
      <c r="Q275" t="n">
        <v>1</v>
      </c>
      <c r="R275" s="2" t="inlineStr">
        <is>
          <t>Revlummer</t>
        </is>
      </c>
      <c r="S275">
        <f>HYPERLINK("https://klasma.github.io/Logging_1880/artfynd/A 44744-2024 artfynd.xlsx", "A 44744-2024")</f>
        <v/>
      </c>
      <c r="T275">
        <f>HYPERLINK("https://klasma.github.io/Logging_1880/kartor/A 44744-2024 karta.png", "A 44744-2024")</f>
        <v/>
      </c>
      <c r="V275">
        <f>HYPERLINK("https://klasma.github.io/Logging_1880/klagomål/A 44744-2024 FSC-klagomål.docx", "A 44744-2024")</f>
        <v/>
      </c>
      <c r="W275">
        <f>HYPERLINK("https://klasma.github.io/Logging_1880/klagomålsmail/A 44744-2024 FSC-klagomål mail.docx", "A 44744-2024")</f>
        <v/>
      </c>
      <c r="X275">
        <f>HYPERLINK("https://klasma.github.io/Logging_1880/tillsyn/A 44744-2024 tillsynsbegäran.docx", "A 44744-2024")</f>
        <v/>
      </c>
      <c r="Y275">
        <f>HYPERLINK("https://klasma.github.io/Logging_1880/tillsynsmail/A 44744-2024 tillsynsbegäran mail.docx", "A 44744-2024")</f>
        <v/>
      </c>
    </row>
    <row r="276" ht="15" customHeight="1">
      <c r="A276" t="inlineStr">
        <is>
          <t>A 9508-2025</t>
        </is>
      </c>
      <c r="B276" s="1" t="n">
        <v>45714</v>
      </c>
      <c r="C276" s="1" t="n">
        <v>45952</v>
      </c>
      <c r="D276" t="inlineStr">
        <is>
          <t>ÖREBRO LÄN</t>
        </is>
      </c>
      <c r="E276" t="inlineStr">
        <is>
          <t>ASKERSUND</t>
        </is>
      </c>
      <c r="F276" t="inlineStr">
        <is>
          <t>Övriga Aktiebolag</t>
        </is>
      </c>
      <c r="G276" t="n">
        <v>4.6</v>
      </c>
      <c r="H276" t="n">
        <v>1</v>
      </c>
      <c r="I276" t="n">
        <v>0</v>
      </c>
      <c r="J276" t="n">
        <v>0</v>
      </c>
      <c r="K276" t="n">
        <v>0</v>
      </c>
      <c r="L276" t="n">
        <v>0</v>
      </c>
      <c r="M276" t="n">
        <v>0</v>
      </c>
      <c r="N276" t="n">
        <v>0</v>
      </c>
      <c r="O276" t="n">
        <v>0</v>
      </c>
      <c r="P276" t="n">
        <v>0</v>
      </c>
      <c r="Q276" t="n">
        <v>1</v>
      </c>
      <c r="R276" s="2" t="inlineStr">
        <is>
          <t>Mattlummer</t>
        </is>
      </c>
      <c r="S276">
        <f>HYPERLINK("https://klasma.github.io/Logging_1882/artfynd/A 9508-2025 artfynd.xlsx", "A 9508-2025")</f>
        <v/>
      </c>
      <c r="T276">
        <f>HYPERLINK("https://klasma.github.io/Logging_1882/kartor/A 9508-2025 karta.png", "A 9508-2025")</f>
        <v/>
      </c>
      <c r="V276">
        <f>HYPERLINK("https://klasma.github.io/Logging_1882/klagomål/A 9508-2025 FSC-klagomål.docx", "A 9508-2025")</f>
        <v/>
      </c>
      <c r="W276">
        <f>HYPERLINK("https://klasma.github.io/Logging_1882/klagomålsmail/A 9508-2025 FSC-klagomål mail.docx", "A 9508-2025")</f>
        <v/>
      </c>
      <c r="X276">
        <f>HYPERLINK("https://klasma.github.io/Logging_1882/tillsyn/A 9508-2025 tillsynsbegäran.docx", "A 9508-2025")</f>
        <v/>
      </c>
      <c r="Y276">
        <f>HYPERLINK("https://klasma.github.io/Logging_1882/tillsynsmail/A 9508-2025 tillsynsbegäran mail.docx", "A 9508-2025")</f>
        <v/>
      </c>
    </row>
    <row r="277" ht="15" customHeight="1">
      <c r="A277" t="inlineStr">
        <is>
          <t>A 44389-2021</t>
        </is>
      </c>
      <c r="B277" s="1" t="n">
        <v>44435</v>
      </c>
      <c r="C277" s="1" t="n">
        <v>45952</v>
      </c>
      <c r="D277" t="inlineStr">
        <is>
          <t>ÖREBRO LÄN</t>
        </is>
      </c>
      <c r="E277" t="inlineStr">
        <is>
          <t>ÖREBRO</t>
        </is>
      </c>
      <c r="G277" t="n">
        <v>2.2</v>
      </c>
      <c r="H277" t="n">
        <v>1</v>
      </c>
      <c r="I277" t="n">
        <v>0</v>
      </c>
      <c r="J277" t="n">
        <v>0</v>
      </c>
      <c r="K277" t="n">
        <v>1</v>
      </c>
      <c r="L277" t="n">
        <v>0</v>
      </c>
      <c r="M277" t="n">
        <v>0</v>
      </c>
      <c r="N277" t="n">
        <v>0</v>
      </c>
      <c r="O277" t="n">
        <v>1</v>
      </c>
      <c r="P277" t="n">
        <v>1</v>
      </c>
      <c r="Q277" t="n">
        <v>1</v>
      </c>
      <c r="R277" s="2" t="inlineStr">
        <is>
          <t>Knärot</t>
        </is>
      </c>
      <c r="S277">
        <f>HYPERLINK("https://klasma.github.io/Logging_1880/artfynd/A 44389-2021 artfynd.xlsx", "A 44389-2021")</f>
        <v/>
      </c>
      <c r="T277">
        <f>HYPERLINK("https://klasma.github.io/Logging_1880/kartor/A 44389-2021 karta.png", "A 44389-2021")</f>
        <v/>
      </c>
      <c r="U277">
        <f>HYPERLINK("https://klasma.github.io/Logging_1880/knärot/A 44389-2021 karta knärot.png", "A 44389-2021")</f>
        <v/>
      </c>
      <c r="V277">
        <f>HYPERLINK("https://klasma.github.io/Logging_1880/klagomål/A 44389-2021 FSC-klagomål.docx", "A 44389-2021")</f>
        <v/>
      </c>
      <c r="W277">
        <f>HYPERLINK("https://klasma.github.io/Logging_1880/klagomålsmail/A 44389-2021 FSC-klagomål mail.docx", "A 44389-2021")</f>
        <v/>
      </c>
      <c r="X277">
        <f>HYPERLINK("https://klasma.github.io/Logging_1880/tillsyn/A 44389-2021 tillsynsbegäran.docx", "A 44389-2021")</f>
        <v/>
      </c>
      <c r="Y277">
        <f>HYPERLINK("https://klasma.github.io/Logging_1880/tillsynsmail/A 44389-2021 tillsynsbegäran mail.docx", "A 44389-2021")</f>
        <v/>
      </c>
    </row>
    <row r="278" ht="15" customHeight="1">
      <c r="A278" t="inlineStr">
        <is>
          <t>A 11519-2023</t>
        </is>
      </c>
      <c r="B278" s="1" t="n">
        <v>44993.71164351852</v>
      </c>
      <c r="C278" s="1" t="n">
        <v>45952</v>
      </c>
      <c r="D278" t="inlineStr">
        <is>
          <t>ÖREBRO LÄN</t>
        </is>
      </c>
      <c r="E278" t="inlineStr">
        <is>
          <t>ASKERSUND</t>
        </is>
      </c>
      <c r="G278" t="n">
        <v>2</v>
      </c>
      <c r="H278" t="n">
        <v>0</v>
      </c>
      <c r="I278" t="n">
        <v>1</v>
      </c>
      <c r="J278" t="n">
        <v>0</v>
      </c>
      <c r="K278" t="n">
        <v>0</v>
      </c>
      <c r="L278" t="n">
        <v>0</v>
      </c>
      <c r="M278" t="n">
        <v>0</v>
      </c>
      <c r="N278" t="n">
        <v>0</v>
      </c>
      <c r="O278" t="n">
        <v>0</v>
      </c>
      <c r="P278" t="n">
        <v>0</v>
      </c>
      <c r="Q278" t="n">
        <v>1</v>
      </c>
      <c r="R278" s="2" t="inlineStr">
        <is>
          <t>Vågbandad barkbock</t>
        </is>
      </c>
      <c r="S278">
        <f>HYPERLINK("https://klasma.github.io/Logging_1882/artfynd/A 11519-2023 artfynd.xlsx", "A 11519-2023")</f>
        <v/>
      </c>
      <c r="T278">
        <f>HYPERLINK("https://klasma.github.io/Logging_1882/kartor/A 11519-2023 karta.png", "A 11519-2023")</f>
        <v/>
      </c>
      <c r="V278">
        <f>HYPERLINK("https://klasma.github.io/Logging_1882/klagomål/A 11519-2023 FSC-klagomål.docx", "A 11519-2023")</f>
        <v/>
      </c>
      <c r="W278">
        <f>HYPERLINK("https://klasma.github.io/Logging_1882/klagomålsmail/A 11519-2023 FSC-klagomål mail.docx", "A 11519-2023")</f>
        <v/>
      </c>
      <c r="X278">
        <f>HYPERLINK("https://klasma.github.io/Logging_1882/tillsyn/A 11519-2023 tillsynsbegäran.docx", "A 11519-2023")</f>
        <v/>
      </c>
      <c r="Y278">
        <f>HYPERLINK("https://klasma.github.io/Logging_1882/tillsynsmail/A 11519-2023 tillsynsbegäran mail.docx", "A 11519-2023")</f>
        <v/>
      </c>
    </row>
    <row r="279" ht="15" customHeight="1">
      <c r="A279" t="inlineStr">
        <is>
          <t>A 22604-2024</t>
        </is>
      </c>
      <c r="B279" s="1" t="n">
        <v>45447</v>
      </c>
      <c r="C279" s="1" t="n">
        <v>45952</v>
      </c>
      <c r="D279" t="inlineStr">
        <is>
          <t>ÖREBRO LÄN</t>
        </is>
      </c>
      <c r="E279" t="inlineStr">
        <is>
          <t>ÖREBRO</t>
        </is>
      </c>
      <c r="G279" t="n">
        <v>4.4</v>
      </c>
      <c r="H279" t="n">
        <v>0</v>
      </c>
      <c r="I279" t="n">
        <v>0</v>
      </c>
      <c r="J279" t="n">
        <v>1</v>
      </c>
      <c r="K279" t="n">
        <v>0</v>
      </c>
      <c r="L279" t="n">
        <v>0</v>
      </c>
      <c r="M279" t="n">
        <v>0</v>
      </c>
      <c r="N279" t="n">
        <v>0</v>
      </c>
      <c r="O279" t="n">
        <v>1</v>
      </c>
      <c r="P279" t="n">
        <v>0</v>
      </c>
      <c r="Q279" t="n">
        <v>1</v>
      </c>
      <c r="R279" s="2" t="inlineStr">
        <is>
          <t>Månlåsbräken</t>
        </is>
      </c>
      <c r="S279">
        <f>HYPERLINK("https://klasma.github.io/Logging_1880/artfynd/A 22604-2024 artfynd.xlsx", "A 22604-2024")</f>
        <v/>
      </c>
      <c r="T279">
        <f>HYPERLINK("https://klasma.github.io/Logging_1880/kartor/A 22604-2024 karta.png", "A 22604-2024")</f>
        <v/>
      </c>
      <c r="V279">
        <f>HYPERLINK("https://klasma.github.io/Logging_1880/klagomål/A 22604-2024 FSC-klagomål.docx", "A 22604-2024")</f>
        <v/>
      </c>
      <c r="W279">
        <f>HYPERLINK("https://klasma.github.io/Logging_1880/klagomålsmail/A 22604-2024 FSC-klagomål mail.docx", "A 22604-2024")</f>
        <v/>
      </c>
      <c r="X279">
        <f>HYPERLINK("https://klasma.github.io/Logging_1880/tillsyn/A 22604-2024 tillsynsbegäran.docx", "A 22604-2024")</f>
        <v/>
      </c>
      <c r="Y279">
        <f>HYPERLINK("https://klasma.github.io/Logging_1880/tillsynsmail/A 22604-2024 tillsynsbegäran mail.docx", "A 22604-2024")</f>
        <v/>
      </c>
    </row>
    <row r="280" ht="15" customHeight="1">
      <c r="A280" t="inlineStr">
        <is>
          <t>A 5244-2025</t>
        </is>
      </c>
      <c r="B280" s="1" t="n">
        <v>45692</v>
      </c>
      <c r="C280" s="1" t="n">
        <v>45952</v>
      </c>
      <c r="D280" t="inlineStr">
        <is>
          <t>ÖREBRO LÄN</t>
        </is>
      </c>
      <c r="E280" t="inlineStr">
        <is>
          <t>HÄLLEFORS</t>
        </is>
      </c>
      <c r="F280" t="inlineStr">
        <is>
          <t>Bergvik skog väst AB</t>
        </is>
      </c>
      <c r="G280" t="n">
        <v>9.199999999999999</v>
      </c>
      <c r="H280" t="n">
        <v>0</v>
      </c>
      <c r="I280" t="n">
        <v>0</v>
      </c>
      <c r="J280" t="n">
        <v>1</v>
      </c>
      <c r="K280" t="n">
        <v>0</v>
      </c>
      <c r="L280" t="n">
        <v>0</v>
      </c>
      <c r="M280" t="n">
        <v>0</v>
      </c>
      <c r="N280" t="n">
        <v>0</v>
      </c>
      <c r="O280" t="n">
        <v>1</v>
      </c>
      <c r="P280" t="n">
        <v>0</v>
      </c>
      <c r="Q280" t="n">
        <v>1</v>
      </c>
      <c r="R280" s="2" t="inlineStr">
        <is>
          <t>Lunglav</t>
        </is>
      </c>
      <c r="S280">
        <f>HYPERLINK("https://klasma.github.io/Logging_1863/artfynd/A 5244-2025 artfynd.xlsx", "A 5244-2025")</f>
        <v/>
      </c>
      <c r="T280">
        <f>HYPERLINK("https://klasma.github.io/Logging_1863/kartor/A 5244-2025 karta.png", "A 5244-2025")</f>
        <v/>
      </c>
      <c r="V280">
        <f>HYPERLINK("https://klasma.github.io/Logging_1863/klagomål/A 5244-2025 FSC-klagomål.docx", "A 5244-2025")</f>
        <v/>
      </c>
      <c r="W280">
        <f>HYPERLINK("https://klasma.github.io/Logging_1863/klagomålsmail/A 5244-2025 FSC-klagomål mail.docx", "A 5244-2025")</f>
        <v/>
      </c>
      <c r="X280">
        <f>HYPERLINK("https://klasma.github.io/Logging_1863/tillsyn/A 5244-2025 tillsynsbegäran.docx", "A 5244-2025")</f>
        <v/>
      </c>
      <c r="Y280">
        <f>HYPERLINK("https://klasma.github.io/Logging_1863/tillsynsmail/A 5244-2025 tillsynsbegäran mail.docx", "A 5244-2025")</f>
        <v/>
      </c>
    </row>
    <row r="281" ht="15" customHeight="1">
      <c r="A281" t="inlineStr">
        <is>
          <t>A 39025-2022</t>
        </is>
      </c>
      <c r="B281" s="1" t="n">
        <v>44817.3353125</v>
      </c>
      <c r="C281" s="1" t="n">
        <v>45952</v>
      </c>
      <c r="D281" t="inlineStr">
        <is>
          <t>ÖREBRO LÄN</t>
        </is>
      </c>
      <c r="E281" t="inlineStr">
        <is>
          <t>KARLSKOGA</t>
        </is>
      </c>
      <c r="F281" t="inlineStr">
        <is>
          <t>Sveaskog</t>
        </is>
      </c>
      <c r="G281" t="n">
        <v>3.2</v>
      </c>
      <c r="H281" t="n">
        <v>1</v>
      </c>
      <c r="I281" t="n">
        <v>0</v>
      </c>
      <c r="J281" t="n">
        <v>1</v>
      </c>
      <c r="K281" t="n">
        <v>0</v>
      </c>
      <c r="L281" t="n">
        <v>0</v>
      </c>
      <c r="M281" t="n">
        <v>0</v>
      </c>
      <c r="N281" t="n">
        <v>0</v>
      </c>
      <c r="O281" t="n">
        <v>1</v>
      </c>
      <c r="P281" t="n">
        <v>0</v>
      </c>
      <c r="Q281" t="n">
        <v>1</v>
      </c>
      <c r="R281" s="2" t="inlineStr">
        <is>
          <t>Talltita</t>
        </is>
      </c>
      <c r="S281">
        <f>HYPERLINK("https://klasma.github.io/Logging_1883/artfynd/A 39025-2022 artfynd.xlsx", "A 39025-2022")</f>
        <v/>
      </c>
      <c r="T281">
        <f>HYPERLINK("https://klasma.github.io/Logging_1883/kartor/A 39025-2022 karta.png", "A 39025-2022")</f>
        <v/>
      </c>
      <c r="V281">
        <f>HYPERLINK("https://klasma.github.io/Logging_1883/klagomål/A 39025-2022 FSC-klagomål.docx", "A 39025-2022")</f>
        <v/>
      </c>
      <c r="W281">
        <f>HYPERLINK("https://klasma.github.io/Logging_1883/klagomålsmail/A 39025-2022 FSC-klagomål mail.docx", "A 39025-2022")</f>
        <v/>
      </c>
      <c r="X281">
        <f>HYPERLINK("https://klasma.github.io/Logging_1883/tillsyn/A 39025-2022 tillsynsbegäran.docx", "A 39025-2022")</f>
        <v/>
      </c>
      <c r="Y281">
        <f>HYPERLINK("https://klasma.github.io/Logging_1883/tillsynsmail/A 39025-2022 tillsynsbegäran mail.docx", "A 39025-2022")</f>
        <v/>
      </c>
      <c r="Z281">
        <f>HYPERLINK("https://klasma.github.io/Logging_1883/fåglar/A 39025-2022 prioriterade fågelarter.docx", "A 39025-2022")</f>
        <v/>
      </c>
    </row>
    <row r="282" ht="15" customHeight="1">
      <c r="A282" t="inlineStr">
        <is>
          <t>A 11501-2025</t>
        </is>
      </c>
      <c r="B282" s="1" t="n">
        <v>45726</v>
      </c>
      <c r="C282" s="1" t="n">
        <v>45952</v>
      </c>
      <c r="D282" t="inlineStr">
        <is>
          <t>ÖREBRO LÄN</t>
        </is>
      </c>
      <c r="E282" t="inlineStr">
        <is>
          <t>ÖREBRO</t>
        </is>
      </c>
      <c r="G282" t="n">
        <v>0.8</v>
      </c>
      <c r="H282" t="n">
        <v>1</v>
      </c>
      <c r="I282" t="n">
        <v>0</v>
      </c>
      <c r="J282" t="n">
        <v>0</v>
      </c>
      <c r="K282" t="n">
        <v>0</v>
      </c>
      <c r="L282" t="n">
        <v>0</v>
      </c>
      <c r="M282" t="n">
        <v>0</v>
      </c>
      <c r="N282" t="n">
        <v>0</v>
      </c>
      <c r="O282" t="n">
        <v>0</v>
      </c>
      <c r="P282" t="n">
        <v>0</v>
      </c>
      <c r="Q282" t="n">
        <v>1</v>
      </c>
      <c r="R282" s="2" t="inlineStr">
        <is>
          <t>Kopparödla</t>
        </is>
      </c>
      <c r="S282">
        <f>HYPERLINK("https://klasma.github.io/Logging_1880/artfynd/A 11501-2025 artfynd.xlsx", "A 11501-2025")</f>
        <v/>
      </c>
      <c r="T282">
        <f>HYPERLINK("https://klasma.github.io/Logging_1880/kartor/A 11501-2025 karta.png", "A 11501-2025")</f>
        <v/>
      </c>
      <c r="V282">
        <f>HYPERLINK("https://klasma.github.io/Logging_1880/klagomål/A 11501-2025 FSC-klagomål.docx", "A 11501-2025")</f>
        <v/>
      </c>
      <c r="W282">
        <f>HYPERLINK("https://klasma.github.io/Logging_1880/klagomålsmail/A 11501-2025 FSC-klagomål mail.docx", "A 11501-2025")</f>
        <v/>
      </c>
      <c r="X282">
        <f>HYPERLINK("https://klasma.github.io/Logging_1880/tillsyn/A 11501-2025 tillsynsbegäran.docx", "A 11501-2025")</f>
        <v/>
      </c>
      <c r="Y282">
        <f>HYPERLINK("https://klasma.github.io/Logging_1880/tillsynsmail/A 11501-2025 tillsynsbegäran mail.docx", "A 11501-2025")</f>
        <v/>
      </c>
    </row>
    <row r="283" ht="15" customHeight="1">
      <c r="A283" t="inlineStr">
        <is>
          <t>A 58966-2020</t>
        </is>
      </c>
      <c r="B283" s="1" t="n">
        <v>44146</v>
      </c>
      <c r="C283" s="1" t="n">
        <v>45952</v>
      </c>
      <c r="D283" t="inlineStr">
        <is>
          <t>ÖREBRO LÄN</t>
        </is>
      </c>
      <c r="E283" t="inlineStr">
        <is>
          <t>ÖREBRO</t>
        </is>
      </c>
      <c r="F283" t="inlineStr">
        <is>
          <t>Övriga Aktiebolag</t>
        </is>
      </c>
      <c r="G283" t="n">
        <v>1.2</v>
      </c>
      <c r="H283" t="n">
        <v>1</v>
      </c>
      <c r="I283" t="n">
        <v>0</v>
      </c>
      <c r="J283" t="n">
        <v>1</v>
      </c>
      <c r="K283" t="n">
        <v>0</v>
      </c>
      <c r="L283" t="n">
        <v>0</v>
      </c>
      <c r="M283" t="n">
        <v>0</v>
      </c>
      <c r="N283" t="n">
        <v>0</v>
      </c>
      <c r="O283" t="n">
        <v>1</v>
      </c>
      <c r="P283" t="n">
        <v>0</v>
      </c>
      <c r="Q283" t="n">
        <v>1</v>
      </c>
      <c r="R283" s="2" t="inlineStr">
        <is>
          <t>Kråka</t>
        </is>
      </c>
      <c r="S283">
        <f>HYPERLINK("https://klasma.github.io/Logging_1880/artfynd/A 58966-2020 artfynd.xlsx", "A 58966-2020")</f>
        <v/>
      </c>
      <c r="T283">
        <f>HYPERLINK("https://klasma.github.io/Logging_1880/kartor/A 58966-2020 karta.png", "A 58966-2020")</f>
        <v/>
      </c>
      <c r="V283">
        <f>HYPERLINK("https://klasma.github.io/Logging_1880/klagomål/A 58966-2020 FSC-klagomål.docx", "A 58966-2020")</f>
        <v/>
      </c>
      <c r="W283">
        <f>HYPERLINK("https://klasma.github.io/Logging_1880/klagomålsmail/A 58966-2020 FSC-klagomål mail.docx", "A 58966-2020")</f>
        <v/>
      </c>
      <c r="X283">
        <f>HYPERLINK("https://klasma.github.io/Logging_1880/tillsyn/A 58966-2020 tillsynsbegäran.docx", "A 58966-2020")</f>
        <v/>
      </c>
      <c r="Y283">
        <f>HYPERLINK("https://klasma.github.io/Logging_1880/tillsynsmail/A 58966-2020 tillsynsbegäran mail.docx", "A 58966-2020")</f>
        <v/>
      </c>
      <c r="Z283">
        <f>HYPERLINK("https://klasma.github.io/Logging_1880/fåglar/A 58966-2020 prioriterade fågelarter.docx", "A 58966-2020")</f>
        <v/>
      </c>
    </row>
    <row r="284" ht="15" customHeight="1">
      <c r="A284" t="inlineStr">
        <is>
          <t>A 38912-2023</t>
        </is>
      </c>
      <c r="B284" s="1" t="n">
        <v>45163</v>
      </c>
      <c r="C284" s="1" t="n">
        <v>45952</v>
      </c>
      <c r="D284" t="inlineStr">
        <is>
          <t>ÖREBRO LÄN</t>
        </is>
      </c>
      <c r="E284" t="inlineStr">
        <is>
          <t>DEGERFORS</t>
        </is>
      </c>
      <c r="F284" t="inlineStr">
        <is>
          <t>Sveaskog</t>
        </is>
      </c>
      <c r="G284" t="n">
        <v>5.4</v>
      </c>
      <c r="H284" t="n">
        <v>1</v>
      </c>
      <c r="I284" t="n">
        <v>0</v>
      </c>
      <c r="J284" t="n">
        <v>1</v>
      </c>
      <c r="K284" t="n">
        <v>0</v>
      </c>
      <c r="L284" t="n">
        <v>0</v>
      </c>
      <c r="M284" t="n">
        <v>0</v>
      </c>
      <c r="N284" t="n">
        <v>0</v>
      </c>
      <c r="O284" t="n">
        <v>1</v>
      </c>
      <c r="P284" t="n">
        <v>0</v>
      </c>
      <c r="Q284" t="n">
        <v>1</v>
      </c>
      <c r="R284" s="2" t="inlineStr">
        <is>
          <t>Tretåig hackspett</t>
        </is>
      </c>
      <c r="S284">
        <f>HYPERLINK("https://klasma.github.io/Logging_1862/artfynd/A 38912-2023 artfynd.xlsx", "A 38912-2023")</f>
        <v/>
      </c>
      <c r="T284">
        <f>HYPERLINK("https://klasma.github.io/Logging_1862/kartor/A 38912-2023 karta.png", "A 38912-2023")</f>
        <v/>
      </c>
      <c r="V284">
        <f>HYPERLINK("https://klasma.github.io/Logging_1862/klagomål/A 38912-2023 FSC-klagomål.docx", "A 38912-2023")</f>
        <v/>
      </c>
      <c r="W284">
        <f>HYPERLINK("https://klasma.github.io/Logging_1862/klagomålsmail/A 38912-2023 FSC-klagomål mail.docx", "A 38912-2023")</f>
        <v/>
      </c>
      <c r="X284">
        <f>HYPERLINK("https://klasma.github.io/Logging_1862/tillsyn/A 38912-2023 tillsynsbegäran.docx", "A 38912-2023")</f>
        <v/>
      </c>
      <c r="Y284">
        <f>HYPERLINK("https://klasma.github.io/Logging_1862/tillsynsmail/A 38912-2023 tillsynsbegäran mail.docx", "A 38912-2023")</f>
        <v/>
      </c>
      <c r="Z284">
        <f>HYPERLINK("https://klasma.github.io/Logging_1862/fåglar/A 38912-2023 prioriterade fågelarter.docx", "A 38912-2023")</f>
        <v/>
      </c>
    </row>
    <row r="285" ht="15" customHeight="1">
      <c r="A285" t="inlineStr">
        <is>
          <t>A 14312-2025</t>
        </is>
      </c>
      <c r="B285" s="1" t="n">
        <v>45740.71707175926</v>
      </c>
      <c r="C285" s="1" t="n">
        <v>45952</v>
      </c>
      <c r="D285" t="inlineStr">
        <is>
          <t>ÖREBRO LÄN</t>
        </is>
      </c>
      <c r="E285" t="inlineStr">
        <is>
          <t>NORA</t>
        </is>
      </c>
      <c r="G285" t="n">
        <v>2.9</v>
      </c>
      <c r="H285" t="n">
        <v>1</v>
      </c>
      <c r="I285" t="n">
        <v>0</v>
      </c>
      <c r="J285" t="n">
        <v>1</v>
      </c>
      <c r="K285" t="n">
        <v>0</v>
      </c>
      <c r="L285" t="n">
        <v>0</v>
      </c>
      <c r="M285" t="n">
        <v>0</v>
      </c>
      <c r="N285" t="n">
        <v>0</v>
      </c>
      <c r="O285" t="n">
        <v>1</v>
      </c>
      <c r="P285" t="n">
        <v>0</v>
      </c>
      <c r="Q285" t="n">
        <v>1</v>
      </c>
      <c r="R285" s="2" t="inlineStr">
        <is>
          <t>Spillkråka</t>
        </is>
      </c>
      <c r="S285">
        <f>HYPERLINK("https://klasma.github.io/Logging_1884/artfynd/A 14312-2025 artfynd.xlsx", "A 14312-2025")</f>
        <v/>
      </c>
      <c r="T285">
        <f>HYPERLINK("https://klasma.github.io/Logging_1884/kartor/A 14312-2025 karta.png", "A 14312-2025")</f>
        <v/>
      </c>
      <c r="V285">
        <f>HYPERLINK("https://klasma.github.io/Logging_1884/klagomål/A 14312-2025 FSC-klagomål.docx", "A 14312-2025")</f>
        <v/>
      </c>
      <c r="W285">
        <f>HYPERLINK("https://klasma.github.io/Logging_1884/klagomålsmail/A 14312-2025 FSC-klagomål mail.docx", "A 14312-2025")</f>
        <v/>
      </c>
      <c r="X285">
        <f>HYPERLINK("https://klasma.github.io/Logging_1884/tillsyn/A 14312-2025 tillsynsbegäran.docx", "A 14312-2025")</f>
        <v/>
      </c>
      <c r="Y285">
        <f>HYPERLINK("https://klasma.github.io/Logging_1884/tillsynsmail/A 14312-2025 tillsynsbegäran mail.docx", "A 14312-2025")</f>
        <v/>
      </c>
      <c r="Z285">
        <f>HYPERLINK("https://klasma.github.io/Logging_1884/fåglar/A 14312-2025 prioriterade fågelarter.docx", "A 14312-2025")</f>
        <v/>
      </c>
    </row>
    <row r="286" ht="15" customHeight="1">
      <c r="A286" t="inlineStr">
        <is>
          <t>A 57920-2024</t>
        </is>
      </c>
      <c r="B286" s="1" t="n">
        <v>45631.50894675926</v>
      </c>
      <c r="C286" s="1" t="n">
        <v>45952</v>
      </c>
      <c r="D286" t="inlineStr">
        <is>
          <t>ÖREBRO LÄN</t>
        </is>
      </c>
      <c r="E286" t="inlineStr">
        <is>
          <t>ÖREBRO</t>
        </is>
      </c>
      <c r="G286" t="n">
        <v>2.3</v>
      </c>
      <c r="H286" t="n">
        <v>1</v>
      </c>
      <c r="I286" t="n">
        <v>0</v>
      </c>
      <c r="J286" t="n">
        <v>0</v>
      </c>
      <c r="K286" t="n">
        <v>0</v>
      </c>
      <c r="L286" t="n">
        <v>0</v>
      </c>
      <c r="M286" t="n">
        <v>0</v>
      </c>
      <c r="N286" t="n">
        <v>0</v>
      </c>
      <c r="O286" t="n">
        <v>0</v>
      </c>
      <c r="P286" t="n">
        <v>0</v>
      </c>
      <c r="Q286" t="n">
        <v>1</v>
      </c>
      <c r="R286" s="2" t="inlineStr">
        <is>
          <t>Kungsfågel</t>
        </is>
      </c>
      <c r="S286">
        <f>HYPERLINK("https://klasma.github.io/Logging_1880/artfynd/A 57920-2024 artfynd.xlsx", "A 57920-2024")</f>
        <v/>
      </c>
      <c r="T286">
        <f>HYPERLINK("https://klasma.github.io/Logging_1880/kartor/A 57920-2024 karta.png", "A 57920-2024")</f>
        <v/>
      </c>
      <c r="V286">
        <f>HYPERLINK("https://klasma.github.io/Logging_1880/klagomål/A 57920-2024 FSC-klagomål.docx", "A 57920-2024")</f>
        <v/>
      </c>
      <c r="W286">
        <f>HYPERLINK("https://klasma.github.io/Logging_1880/klagomålsmail/A 57920-2024 FSC-klagomål mail.docx", "A 57920-2024")</f>
        <v/>
      </c>
      <c r="X286">
        <f>HYPERLINK("https://klasma.github.io/Logging_1880/tillsyn/A 57920-2024 tillsynsbegäran.docx", "A 57920-2024")</f>
        <v/>
      </c>
      <c r="Y286">
        <f>HYPERLINK("https://klasma.github.io/Logging_1880/tillsynsmail/A 57920-2024 tillsynsbegäran mail.docx", "A 57920-2024")</f>
        <v/>
      </c>
      <c r="Z286">
        <f>HYPERLINK("https://klasma.github.io/Logging_1880/fåglar/A 57920-2024 prioriterade fågelarter.docx", "A 57920-2024")</f>
        <v/>
      </c>
    </row>
    <row r="287" ht="15" customHeight="1">
      <c r="A287" t="inlineStr">
        <is>
          <t>A 2694-2024</t>
        </is>
      </c>
      <c r="B287" s="1" t="n">
        <v>45314</v>
      </c>
      <c r="C287" s="1" t="n">
        <v>45952</v>
      </c>
      <c r="D287" t="inlineStr">
        <is>
          <t>ÖREBRO LÄN</t>
        </is>
      </c>
      <c r="E287" t="inlineStr">
        <is>
          <t>HALLSBERG</t>
        </is>
      </c>
      <c r="G287" t="n">
        <v>1.6</v>
      </c>
      <c r="H287" t="n">
        <v>1</v>
      </c>
      <c r="I287" t="n">
        <v>0</v>
      </c>
      <c r="J287" t="n">
        <v>0</v>
      </c>
      <c r="K287" t="n">
        <v>0</v>
      </c>
      <c r="L287" t="n">
        <v>0</v>
      </c>
      <c r="M287" t="n">
        <v>0</v>
      </c>
      <c r="N287" t="n">
        <v>0</v>
      </c>
      <c r="O287" t="n">
        <v>0</v>
      </c>
      <c r="P287" t="n">
        <v>0</v>
      </c>
      <c r="Q287" t="n">
        <v>1</v>
      </c>
      <c r="R287" s="2" t="inlineStr">
        <is>
          <t>Blåsippa</t>
        </is>
      </c>
      <c r="S287">
        <f>HYPERLINK("https://klasma.github.io/Logging_1861/artfynd/A 2694-2024 artfynd.xlsx", "A 2694-2024")</f>
        <v/>
      </c>
      <c r="T287">
        <f>HYPERLINK("https://klasma.github.io/Logging_1861/kartor/A 2694-2024 karta.png", "A 2694-2024")</f>
        <v/>
      </c>
      <c r="V287">
        <f>HYPERLINK("https://klasma.github.io/Logging_1861/klagomål/A 2694-2024 FSC-klagomål.docx", "A 2694-2024")</f>
        <v/>
      </c>
      <c r="W287">
        <f>HYPERLINK("https://klasma.github.io/Logging_1861/klagomålsmail/A 2694-2024 FSC-klagomål mail.docx", "A 2694-2024")</f>
        <v/>
      </c>
      <c r="X287">
        <f>HYPERLINK("https://klasma.github.io/Logging_1861/tillsyn/A 2694-2024 tillsynsbegäran.docx", "A 2694-2024")</f>
        <v/>
      </c>
      <c r="Y287">
        <f>HYPERLINK("https://klasma.github.io/Logging_1861/tillsynsmail/A 2694-2024 tillsynsbegäran mail.docx", "A 2694-2024")</f>
        <v/>
      </c>
    </row>
    <row r="288" ht="15" customHeight="1">
      <c r="A288" t="inlineStr">
        <is>
          <t>A 54857-2024</t>
        </is>
      </c>
      <c r="B288" s="1" t="n">
        <v>45618.58876157407</v>
      </c>
      <c r="C288" s="1" t="n">
        <v>45952</v>
      </c>
      <c r="D288" t="inlineStr">
        <is>
          <t>ÖREBRO LÄN</t>
        </is>
      </c>
      <c r="E288" t="inlineStr">
        <is>
          <t>LINDESBERG</t>
        </is>
      </c>
      <c r="F288" t="inlineStr">
        <is>
          <t>Sveaskog</t>
        </is>
      </c>
      <c r="G288" t="n">
        <v>6.1</v>
      </c>
      <c r="H288" t="n">
        <v>0</v>
      </c>
      <c r="I288" t="n">
        <v>0</v>
      </c>
      <c r="J288" t="n">
        <v>1</v>
      </c>
      <c r="K288" t="n">
        <v>0</v>
      </c>
      <c r="L288" t="n">
        <v>0</v>
      </c>
      <c r="M288" t="n">
        <v>0</v>
      </c>
      <c r="N288" t="n">
        <v>0</v>
      </c>
      <c r="O288" t="n">
        <v>1</v>
      </c>
      <c r="P288" t="n">
        <v>0</v>
      </c>
      <c r="Q288" t="n">
        <v>1</v>
      </c>
      <c r="R288" s="2" t="inlineStr">
        <is>
          <t>Sexfläckig bastardsvärmare</t>
        </is>
      </c>
      <c r="S288">
        <f>HYPERLINK("https://klasma.github.io/Logging_1885/artfynd/A 54857-2024 artfynd.xlsx", "A 54857-2024")</f>
        <v/>
      </c>
      <c r="T288">
        <f>HYPERLINK("https://klasma.github.io/Logging_1885/kartor/A 54857-2024 karta.png", "A 54857-2024")</f>
        <v/>
      </c>
      <c r="V288">
        <f>HYPERLINK("https://klasma.github.io/Logging_1885/klagomål/A 54857-2024 FSC-klagomål.docx", "A 54857-2024")</f>
        <v/>
      </c>
      <c r="W288">
        <f>HYPERLINK("https://klasma.github.io/Logging_1885/klagomålsmail/A 54857-2024 FSC-klagomål mail.docx", "A 54857-2024")</f>
        <v/>
      </c>
      <c r="X288">
        <f>HYPERLINK("https://klasma.github.io/Logging_1885/tillsyn/A 54857-2024 tillsynsbegäran.docx", "A 54857-2024")</f>
        <v/>
      </c>
      <c r="Y288">
        <f>HYPERLINK("https://klasma.github.io/Logging_1885/tillsynsmail/A 54857-2024 tillsynsbegäran mail.docx", "A 54857-2024")</f>
        <v/>
      </c>
    </row>
    <row r="289" ht="15" customHeight="1">
      <c r="A289" t="inlineStr">
        <is>
          <t>A 27093-2023</t>
        </is>
      </c>
      <c r="B289" s="1" t="n">
        <v>45096</v>
      </c>
      <c r="C289" s="1" t="n">
        <v>45952</v>
      </c>
      <c r="D289" t="inlineStr">
        <is>
          <t>ÖREBRO LÄN</t>
        </is>
      </c>
      <c r="E289" t="inlineStr">
        <is>
          <t>DEGERFORS</t>
        </is>
      </c>
      <c r="F289" t="inlineStr">
        <is>
          <t>Sveaskog</t>
        </is>
      </c>
      <c r="G289" t="n">
        <v>5.9</v>
      </c>
      <c r="H289" t="n">
        <v>1</v>
      </c>
      <c r="I289" t="n">
        <v>0</v>
      </c>
      <c r="J289" t="n">
        <v>0</v>
      </c>
      <c r="K289" t="n">
        <v>0</v>
      </c>
      <c r="L289" t="n">
        <v>0</v>
      </c>
      <c r="M289" t="n">
        <v>0</v>
      </c>
      <c r="N289" t="n">
        <v>0</v>
      </c>
      <c r="O289" t="n">
        <v>0</v>
      </c>
      <c r="P289" t="n">
        <v>0</v>
      </c>
      <c r="Q289" t="n">
        <v>1</v>
      </c>
      <c r="R289" s="2" t="inlineStr">
        <is>
          <t>Tjäder</t>
        </is>
      </c>
      <c r="S289">
        <f>HYPERLINK("https://klasma.github.io/Logging_1862/artfynd/A 27093-2023 artfynd.xlsx", "A 27093-2023")</f>
        <v/>
      </c>
      <c r="T289">
        <f>HYPERLINK("https://klasma.github.io/Logging_1862/kartor/A 27093-2023 karta.png", "A 27093-2023")</f>
        <v/>
      </c>
      <c r="V289">
        <f>HYPERLINK("https://klasma.github.io/Logging_1862/klagomål/A 27093-2023 FSC-klagomål.docx", "A 27093-2023")</f>
        <v/>
      </c>
      <c r="W289">
        <f>HYPERLINK("https://klasma.github.io/Logging_1862/klagomålsmail/A 27093-2023 FSC-klagomål mail.docx", "A 27093-2023")</f>
        <v/>
      </c>
      <c r="X289">
        <f>HYPERLINK("https://klasma.github.io/Logging_1862/tillsyn/A 27093-2023 tillsynsbegäran.docx", "A 27093-2023")</f>
        <v/>
      </c>
      <c r="Y289">
        <f>HYPERLINK("https://klasma.github.io/Logging_1862/tillsynsmail/A 27093-2023 tillsynsbegäran mail.docx", "A 27093-2023")</f>
        <v/>
      </c>
      <c r="Z289">
        <f>HYPERLINK("https://klasma.github.io/Logging_1862/fåglar/A 27093-2023 prioriterade fågelarter.docx", "A 27093-2023")</f>
        <v/>
      </c>
    </row>
    <row r="290" ht="15" customHeight="1">
      <c r="A290" t="inlineStr">
        <is>
          <t>A 2561-2024</t>
        </is>
      </c>
      <c r="B290" s="1" t="n">
        <v>45313</v>
      </c>
      <c r="C290" s="1" t="n">
        <v>45952</v>
      </c>
      <c r="D290" t="inlineStr">
        <is>
          <t>ÖREBRO LÄN</t>
        </is>
      </c>
      <c r="E290" t="inlineStr">
        <is>
          <t>ASKERSUND</t>
        </is>
      </c>
      <c r="G290" t="n">
        <v>5.4</v>
      </c>
      <c r="H290" t="n">
        <v>0</v>
      </c>
      <c r="I290" t="n">
        <v>0</v>
      </c>
      <c r="J290" t="n">
        <v>0</v>
      </c>
      <c r="K290" t="n">
        <v>1</v>
      </c>
      <c r="L290" t="n">
        <v>0</v>
      </c>
      <c r="M290" t="n">
        <v>0</v>
      </c>
      <c r="N290" t="n">
        <v>0</v>
      </c>
      <c r="O290" t="n">
        <v>1</v>
      </c>
      <c r="P290" t="n">
        <v>1</v>
      </c>
      <c r="Q290" t="n">
        <v>1</v>
      </c>
      <c r="R290" s="2" t="inlineStr">
        <is>
          <t>Slåttergubbe</t>
        </is>
      </c>
      <c r="S290">
        <f>HYPERLINK("https://klasma.github.io/Logging_1882/artfynd/A 2561-2024 artfynd.xlsx", "A 2561-2024")</f>
        <v/>
      </c>
      <c r="T290">
        <f>HYPERLINK("https://klasma.github.io/Logging_1882/kartor/A 2561-2024 karta.png", "A 2561-2024")</f>
        <v/>
      </c>
      <c r="V290">
        <f>HYPERLINK("https://klasma.github.io/Logging_1882/klagomål/A 2561-2024 FSC-klagomål.docx", "A 2561-2024")</f>
        <v/>
      </c>
      <c r="W290">
        <f>HYPERLINK("https://klasma.github.io/Logging_1882/klagomålsmail/A 2561-2024 FSC-klagomål mail.docx", "A 2561-2024")</f>
        <v/>
      </c>
      <c r="X290">
        <f>HYPERLINK("https://klasma.github.io/Logging_1882/tillsyn/A 2561-2024 tillsynsbegäran.docx", "A 2561-2024")</f>
        <v/>
      </c>
      <c r="Y290">
        <f>HYPERLINK("https://klasma.github.io/Logging_1882/tillsynsmail/A 2561-2024 tillsynsbegäran mail.docx", "A 2561-2024")</f>
        <v/>
      </c>
    </row>
    <row r="291" ht="15" customHeight="1">
      <c r="A291" t="inlineStr">
        <is>
          <t>A 57427-2024</t>
        </is>
      </c>
      <c r="B291" s="1" t="n">
        <v>45629</v>
      </c>
      <c r="C291" s="1" t="n">
        <v>45952</v>
      </c>
      <c r="D291" t="inlineStr">
        <is>
          <t>ÖREBRO LÄN</t>
        </is>
      </c>
      <c r="E291" t="inlineStr">
        <is>
          <t>ASKERSUND</t>
        </is>
      </c>
      <c r="G291" t="n">
        <v>3.3</v>
      </c>
      <c r="H291" t="n">
        <v>1</v>
      </c>
      <c r="I291" t="n">
        <v>0</v>
      </c>
      <c r="J291" t="n">
        <v>0</v>
      </c>
      <c r="K291" t="n">
        <v>0</v>
      </c>
      <c r="L291" t="n">
        <v>0</v>
      </c>
      <c r="M291" t="n">
        <v>0</v>
      </c>
      <c r="N291" t="n">
        <v>0</v>
      </c>
      <c r="O291" t="n">
        <v>0</v>
      </c>
      <c r="P291" t="n">
        <v>0</v>
      </c>
      <c r="Q291" t="n">
        <v>1</v>
      </c>
      <c r="R291" s="2" t="inlineStr">
        <is>
          <t>Fläcknycklar</t>
        </is>
      </c>
      <c r="S291">
        <f>HYPERLINK("https://klasma.github.io/Logging_1882/artfynd/A 57427-2024 artfynd.xlsx", "A 57427-2024")</f>
        <v/>
      </c>
      <c r="T291">
        <f>HYPERLINK("https://klasma.github.io/Logging_1882/kartor/A 57427-2024 karta.png", "A 57427-2024")</f>
        <v/>
      </c>
      <c r="V291">
        <f>HYPERLINK("https://klasma.github.io/Logging_1882/klagomål/A 57427-2024 FSC-klagomål.docx", "A 57427-2024")</f>
        <v/>
      </c>
      <c r="W291">
        <f>HYPERLINK("https://klasma.github.io/Logging_1882/klagomålsmail/A 57427-2024 FSC-klagomål mail.docx", "A 57427-2024")</f>
        <v/>
      </c>
      <c r="X291">
        <f>HYPERLINK("https://klasma.github.io/Logging_1882/tillsyn/A 57427-2024 tillsynsbegäran.docx", "A 57427-2024")</f>
        <v/>
      </c>
      <c r="Y291">
        <f>HYPERLINK("https://klasma.github.io/Logging_1882/tillsynsmail/A 57427-2024 tillsynsbegäran mail.docx", "A 57427-2024")</f>
        <v/>
      </c>
    </row>
    <row r="292" ht="15" customHeight="1">
      <c r="A292" t="inlineStr">
        <is>
          <t>A 6192-2025</t>
        </is>
      </c>
      <c r="B292" s="1" t="n">
        <v>45698.46697916667</v>
      </c>
      <c r="C292" s="1" t="n">
        <v>45952</v>
      </c>
      <c r="D292" t="inlineStr">
        <is>
          <t>ÖREBRO LÄN</t>
        </is>
      </c>
      <c r="E292" t="inlineStr">
        <is>
          <t>LINDESBERG</t>
        </is>
      </c>
      <c r="F292" t="inlineStr">
        <is>
          <t>BillerudKorsnäs AB</t>
        </is>
      </c>
      <c r="G292" t="n">
        <v>1.8</v>
      </c>
      <c r="H292" t="n">
        <v>1</v>
      </c>
      <c r="I292" t="n">
        <v>0</v>
      </c>
      <c r="J292" t="n">
        <v>0</v>
      </c>
      <c r="K292" t="n">
        <v>0</v>
      </c>
      <c r="L292" t="n">
        <v>0</v>
      </c>
      <c r="M292" t="n">
        <v>0</v>
      </c>
      <c r="N292" t="n">
        <v>0</v>
      </c>
      <c r="O292" t="n">
        <v>0</v>
      </c>
      <c r="P292" t="n">
        <v>0</v>
      </c>
      <c r="Q292" t="n">
        <v>1</v>
      </c>
      <c r="R292" s="2" t="inlineStr">
        <is>
          <t>Blåsippa</t>
        </is>
      </c>
      <c r="S292">
        <f>HYPERLINK("https://klasma.github.io/Logging_1885/artfynd/A 6192-2025 artfynd.xlsx", "A 6192-2025")</f>
        <v/>
      </c>
      <c r="T292">
        <f>HYPERLINK("https://klasma.github.io/Logging_1885/kartor/A 6192-2025 karta.png", "A 6192-2025")</f>
        <v/>
      </c>
      <c r="V292">
        <f>HYPERLINK("https://klasma.github.io/Logging_1885/klagomål/A 6192-2025 FSC-klagomål.docx", "A 6192-2025")</f>
        <v/>
      </c>
      <c r="W292">
        <f>HYPERLINK("https://klasma.github.io/Logging_1885/klagomålsmail/A 6192-2025 FSC-klagomål mail.docx", "A 6192-2025")</f>
        <v/>
      </c>
      <c r="X292">
        <f>HYPERLINK("https://klasma.github.io/Logging_1885/tillsyn/A 6192-2025 tillsynsbegäran.docx", "A 6192-2025")</f>
        <v/>
      </c>
      <c r="Y292">
        <f>HYPERLINK("https://klasma.github.io/Logging_1885/tillsynsmail/A 6192-2025 tillsynsbegäran mail.docx", "A 6192-2025")</f>
        <v/>
      </c>
    </row>
    <row r="293" ht="15" customHeight="1">
      <c r="A293" t="inlineStr">
        <is>
          <t>A 20659-2025</t>
        </is>
      </c>
      <c r="B293" s="1" t="n">
        <v>45776.41106481481</v>
      </c>
      <c r="C293" s="1" t="n">
        <v>45952</v>
      </c>
      <c r="D293" t="inlineStr">
        <is>
          <t>ÖREBRO LÄN</t>
        </is>
      </c>
      <c r="E293" t="inlineStr">
        <is>
          <t>NORA</t>
        </is>
      </c>
      <c r="G293" t="n">
        <v>11.1</v>
      </c>
      <c r="H293" t="n">
        <v>1</v>
      </c>
      <c r="I293" t="n">
        <v>0</v>
      </c>
      <c r="J293" t="n">
        <v>0</v>
      </c>
      <c r="K293" t="n">
        <v>0</v>
      </c>
      <c r="L293" t="n">
        <v>0</v>
      </c>
      <c r="M293" t="n">
        <v>0</v>
      </c>
      <c r="N293" t="n">
        <v>0</v>
      </c>
      <c r="O293" t="n">
        <v>0</v>
      </c>
      <c r="P293" t="n">
        <v>0</v>
      </c>
      <c r="Q293" t="n">
        <v>1</v>
      </c>
      <c r="R293" s="2" t="inlineStr">
        <is>
          <t>Fläcknycklar</t>
        </is>
      </c>
      <c r="S293">
        <f>HYPERLINK("https://klasma.github.io/Logging_1884/artfynd/A 20659-2025 artfynd.xlsx", "A 20659-2025")</f>
        <v/>
      </c>
      <c r="T293">
        <f>HYPERLINK("https://klasma.github.io/Logging_1884/kartor/A 20659-2025 karta.png", "A 20659-2025")</f>
        <v/>
      </c>
      <c r="V293">
        <f>HYPERLINK("https://klasma.github.io/Logging_1884/klagomål/A 20659-2025 FSC-klagomål.docx", "A 20659-2025")</f>
        <v/>
      </c>
      <c r="W293">
        <f>HYPERLINK("https://klasma.github.io/Logging_1884/klagomålsmail/A 20659-2025 FSC-klagomål mail.docx", "A 20659-2025")</f>
        <v/>
      </c>
      <c r="X293">
        <f>HYPERLINK("https://klasma.github.io/Logging_1884/tillsyn/A 20659-2025 tillsynsbegäran.docx", "A 20659-2025")</f>
        <v/>
      </c>
      <c r="Y293">
        <f>HYPERLINK("https://klasma.github.io/Logging_1884/tillsynsmail/A 20659-2025 tillsynsbegäran mail.docx", "A 20659-2025")</f>
        <v/>
      </c>
    </row>
    <row r="294" ht="15" customHeight="1">
      <c r="A294" t="inlineStr">
        <is>
          <t>A 28786-2023</t>
        </is>
      </c>
      <c r="B294" s="1" t="n">
        <v>45104</v>
      </c>
      <c r="C294" s="1" t="n">
        <v>45952</v>
      </c>
      <c r="D294" t="inlineStr">
        <is>
          <t>ÖREBRO LÄN</t>
        </is>
      </c>
      <c r="E294" t="inlineStr">
        <is>
          <t>ASKERSUND</t>
        </is>
      </c>
      <c r="G294" t="n">
        <v>9.800000000000001</v>
      </c>
      <c r="H294" t="n">
        <v>0</v>
      </c>
      <c r="I294" t="n">
        <v>1</v>
      </c>
      <c r="J294" t="n">
        <v>0</v>
      </c>
      <c r="K294" t="n">
        <v>0</v>
      </c>
      <c r="L294" t="n">
        <v>0</v>
      </c>
      <c r="M294" t="n">
        <v>0</v>
      </c>
      <c r="N294" t="n">
        <v>0</v>
      </c>
      <c r="O294" t="n">
        <v>0</v>
      </c>
      <c r="P294" t="n">
        <v>0</v>
      </c>
      <c r="Q294" t="n">
        <v>1</v>
      </c>
      <c r="R294" s="2" t="inlineStr">
        <is>
          <t>Vedticka</t>
        </is>
      </c>
      <c r="S294">
        <f>HYPERLINK("https://klasma.github.io/Logging_1882/artfynd/A 28786-2023 artfynd.xlsx", "A 28786-2023")</f>
        <v/>
      </c>
      <c r="T294">
        <f>HYPERLINK("https://klasma.github.io/Logging_1882/kartor/A 28786-2023 karta.png", "A 28786-2023")</f>
        <v/>
      </c>
      <c r="V294">
        <f>HYPERLINK("https://klasma.github.io/Logging_1882/klagomål/A 28786-2023 FSC-klagomål.docx", "A 28786-2023")</f>
        <v/>
      </c>
      <c r="W294">
        <f>HYPERLINK("https://klasma.github.io/Logging_1882/klagomålsmail/A 28786-2023 FSC-klagomål mail.docx", "A 28786-2023")</f>
        <v/>
      </c>
      <c r="X294">
        <f>HYPERLINK("https://klasma.github.io/Logging_1882/tillsyn/A 28786-2023 tillsynsbegäran.docx", "A 28786-2023")</f>
        <v/>
      </c>
      <c r="Y294">
        <f>HYPERLINK("https://klasma.github.io/Logging_1882/tillsynsmail/A 28786-2023 tillsynsbegäran mail.docx", "A 28786-2023")</f>
        <v/>
      </c>
    </row>
    <row r="295" ht="15" customHeight="1">
      <c r="A295" t="inlineStr">
        <is>
          <t>A 44891-2024</t>
        </is>
      </c>
      <c r="B295" s="1" t="n">
        <v>45575</v>
      </c>
      <c r="C295" s="1" t="n">
        <v>45952</v>
      </c>
      <c r="D295" t="inlineStr">
        <is>
          <t>ÖREBRO LÄN</t>
        </is>
      </c>
      <c r="E295" t="inlineStr">
        <is>
          <t>ASKERSUND</t>
        </is>
      </c>
      <c r="F295" t="inlineStr">
        <is>
          <t>Sveaskog</t>
        </is>
      </c>
      <c r="G295" t="n">
        <v>1.4</v>
      </c>
      <c r="H295" t="n">
        <v>1</v>
      </c>
      <c r="I295" t="n">
        <v>0</v>
      </c>
      <c r="J295" t="n">
        <v>0</v>
      </c>
      <c r="K295" t="n">
        <v>0</v>
      </c>
      <c r="L295" t="n">
        <v>0</v>
      </c>
      <c r="M295" t="n">
        <v>0</v>
      </c>
      <c r="N295" t="n">
        <v>0</v>
      </c>
      <c r="O295" t="n">
        <v>0</v>
      </c>
      <c r="P295" t="n">
        <v>0</v>
      </c>
      <c r="Q295" t="n">
        <v>1</v>
      </c>
      <c r="R295" s="2" t="inlineStr">
        <is>
          <t>Grönvit nattviol</t>
        </is>
      </c>
      <c r="S295">
        <f>HYPERLINK("https://klasma.github.io/Logging_1882/artfynd/A 44891-2024 artfynd.xlsx", "A 44891-2024")</f>
        <v/>
      </c>
      <c r="T295">
        <f>HYPERLINK("https://klasma.github.io/Logging_1882/kartor/A 44891-2024 karta.png", "A 44891-2024")</f>
        <v/>
      </c>
      <c r="V295">
        <f>HYPERLINK("https://klasma.github.io/Logging_1882/klagomål/A 44891-2024 FSC-klagomål.docx", "A 44891-2024")</f>
        <v/>
      </c>
      <c r="W295">
        <f>HYPERLINK("https://klasma.github.io/Logging_1882/klagomålsmail/A 44891-2024 FSC-klagomål mail.docx", "A 44891-2024")</f>
        <v/>
      </c>
      <c r="X295">
        <f>HYPERLINK("https://klasma.github.io/Logging_1882/tillsyn/A 44891-2024 tillsynsbegäran.docx", "A 44891-2024")</f>
        <v/>
      </c>
      <c r="Y295">
        <f>HYPERLINK("https://klasma.github.io/Logging_1882/tillsynsmail/A 44891-2024 tillsynsbegäran mail.docx", "A 44891-2024")</f>
        <v/>
      </c>
    </row>
    <row r="296" ht="15" customHeight="1">
      <c r="A296" t="inlineStr">
        <is>
          <t>A 13183-2023</t>
        </is>
      </c>
      <c r="B296" s="1" t="n">
        <v>45002</v>
      </c>
      <c r="C296" s="1" t="n">
        <v>45952</v>
      </c>
      <c r="D296" t="inlineStr">
        <is>
          <t>ÖREBRO LÄN</t>
        </is>
      </c>
      <c r="E296" t="inlineStr">
        <is>
          <t>HALLSBERG</t>
        </is>
      </c>
      <c r="F296" t="inlineStr">
        <is>
          <t>Allmännings- och besparingsskogar</t>
        </is>
      </c>
      <c r="G296" t="n">
        <v>3.2</v>
      </c>
      <c r="H296" t="n">
        <v>0</v>
      </c>
      <c r="I296" t="n">
        <v>1</v>
      </c>
      <c r="J296" t="n">
        <v>0</v>
      </c>
      <c r="K296" t="n">
        <v>0</v>
      </c>
      <c r="L296" t="n">
        <v>0</v>
      </c>
      <c r="M296" t="n">
        <v>0</v>
      </c>
      <c r="N296" t="n">
        <v>0</v>
      </c>
      <c r="O296" t="n">
        <v>0</v>
      </c>
      <c r="P296" t="n">
        <v>0</v>
      </c>
      <c r="Q296" t="n">
        <v>1</v>
      </c>
      <c r="R296" s="2" t="inlineStr">
        <is>
          <t>Ögonpyrola</t>
        </is>
      </c>
      <c r="S296">
        <f>HYPERLINK("https://klasma.github.io/Logging_1861/artfynd/A 13183-2023 artfynd.xlsx", "A 13183-2023")</f>
        <v/>
      </c>
      <c r="T296">
        <f>HYPERLINK("https://klasma.github.io/Logging_1861/kartor/A 13183-2023 karta.png", "A 13183-2023")</f>
        <v/>
      </c>
      <c r="V296">
        <f>HYPERLINK("https://klasma.github.io/Logging_1861/klagomål/A 13183-2023 FSC-klagomål.docx", "A 13183-2023")</f>
        <v/>
      </c>
      <c r="W296">
        <f>HYPERLINK("https://klasma.github.io/Logging_1861/klagomålsmail/A 13183-2023 FSC-klagomål mail.docx", "A 13183-2023")</f>
        <v/>
      </c>
      <c r="X296">
        <f>HYPERLINK("https://klasma.github.io/Logging_1861/tillsyn/A 13183-2023 tillsynsbegäran.docx", "A 13183-2023")</f>
        <v/>
      </c>
      <c r="Y296">
        <f>HYPERLINK("https://klasma.github.io/Logging_1861/tillsynsmail/A 13183-2023 tillsynsbegäran mail.docx", "A 13183-2023")</f>
        <v/>
      </c>
    </row>
    <row r="297" ht="15" customHeight="1">
      <c r="A297" t="inlineStr">
        <is>
          <t>A 13233-2023</t>
        </is>
      </c>
      <c r="B297" s="1" t="n">
        <v>45002.7306712963</v>
      </c>
      <c r="C297" s="1" t="n">
        <v>45952</v>
      </c>
      <c r="D297" t="inlineStr">
        <is>
          <t>ÖREBRO LÄN</t>
        </is>
      </c>
      <c r="E297" t="inlineStr">
        <is>
          <t>LJUSNARSBERG</t>
        </is>
      </c>
      <c r="G297" t="n">
        <v>6</v>
      </c>
      <c r="H297" t="n">
        <v>0</v>
      </c>
      <c r="I297" t="n">
        <v>0</v>
      </c>
      <c r="J297" t="n">
        <v>0</v>
      </c>
      <c r="K297" t="n">
        <v>1</v>
      </c>
      <c r="L297" t="n">
        <v>0</v>
      </c>
      <c r="M297" t="n">
        <v>0</v>
      </c>
      <c r="N297" t="n">
        <v>0</v>
      </c>
      <c r="O297" t="n">
        <v>1</v>
      </c>
      <c r="P297" t="n">
        <v>1</v>
      </c>
      <c r="Q297" t="n">
        <v>1</v>
      </c>
      <c r="R297" s="2" t="inlineStr">
        <is>
          <t>Tunnvingemätare</t>
        </is>
      </c>
      <c r="S297">
        <f>HYPERLINK("https://klasma.github.io/Logging_1864/artfynd/A 13233-2023 artfynd.xlsx", "A 13233-2023")</f>
        <v/>
      </c>
      <c r="T297">
        <f>HYPERLINK("https://klasma.github.io/Logging_1864/kartor/A 13233-2023 karta.png", "A 13233-2023")</f>
        <v/>
      </c>
      <c r="V297">
        <f>HYPERLINK("https://klasma.github.io/Logging_1864/klagomål/A 13233-2023 FSC-klagomål.docx", "A 13233-2023")</f>
        <v/>
      </c>
      <c r="W297">
        <f>HYPERLINK("https://klasma.github.io/Logging_1864/klagomålsmail/A 13233-2023 FSC-klagomål mail.docx", "A 13233-2023")</f>
        <v/>
      </c>
      <c r="X297">
        <f>HYPERLINK("https://klasma.github.io/Logging_1864/tillsyn/A 13233-2023 tillsynsbegäran.docx", "A 13233-2023")</f>
        <v/>
      </c>
      <c r="Y297">
        <f>HYPERLINK("https://klasma.github.io/Logging_1864/tillsynsmail/A 13233-2023 tillsynsbegäran mail.docx", "A 13233-2023")</f>
        <v/>
      </c>
    </row>
    <row r="298" ht="15" customHeight="1">
      <c r="A298" t="inlineStr">
        <is>
          <t>A 18617-2025</t>
        </is>
      </c>
      <c r="B298" s="1" t="n">
        <v>45763.51037037037</v>
      </c>
      <c r="C298" s="1" t="n">
        <v>45952</v>
      </c>
      <c r="D298" t="inlineStr">
        <is>
          <t>ÖREBRO LÄN</t>
        </is>
      </c>
      <c r="E298" t="inlineStr">
        <is>
          <t>HÄLLEFORS</t>
        </is>
      </c>
      <c r="F298" t="inlineStr">
        <is>
          <t>Bergvik skog väst AB</t>
        </is>
      </c>
      <c r="G298" t="n">
        <v>3.5</v>
      </c>
      <c r="H298" t="n">
        <v>1</v>
      </c>
      <c r="I298" t="n">
        <v>0</v>
      </c>
      <c r="J298" t="n">
        <v>0</v>
      </c>
      <c r="K298" t="n">
        <v>0</v>
      </c>
      <c r="L298" t="n">
        <v>0</v>
      </c>
      <c r="M298" t="n">
        <v>0</v>
      </c>
      <c r="N298" t="n">
        <v>0</v>
      </c>
      <c r="O298" t="n">
        <v>0</v>
      </c>
      <c r="P298" t="n">
        <v>0</v>
      </c>
      <c r="Q298" t="n">
        <v>1</v>
      </c>
      <c r="R298" s="2" t="inlineStr">
        <is>
          <t>Blåsippa</t>
        </is>
      </c>
      <c r="S298">
        <f>HYPERLINK("https://klasma.github.io/Logging_1863/artfynd/A 18617-2025 artfynd.xlsx", "A 18617-2025")</f>
        <v/>
      </c>
      <c r="T298">
        <f>HYPERLINK("https://klasma.github.io/Logging_1863/kartor/A 18617-2025 karta.png", "A 18617-2025")</f>
        <v/>
      </c>
      <c r="V298">
        <f>HYPERLINK("https://klasma.github.io/Logging_1863/klagomål/A 18617-2025 FSC-klagomål.docx", "A 18617-2025")</f>
        <v/>
      </c>
      <c r="W298">
        <f>HYPERLINK("https://klasma.github.io/Logging_1863/klagomålsmail/A 18617-2025 FSC-klagomål mail.docx", "A 18617-2025")</f>
        <v/>
      </c>
      <c r="X298">
        <f>HYPERLINK("https://klasma.github.io/Logging_1863/tillsyn/A 18617-2025 tillsynsbegäran.docx", "A 18617-2025")</f>
        <v/>
      </c>
      <c r="Y298">
        <f>HYPERLINK("https://klasma.github.io/Logging_1863/tillsynsmail/A 18617-2025 tillsynsbegäran mail.docx", "A 18617-2025")</f>
        <v/>
      </c>
    </row>
    <row r="299" ht="15" customHeight="1">
      <c r="A299" t="inlineStr">
        <is>
          <t>A 34285-2024</t>
        </is>
      </c>
      <c r="B299" s="1" t="n">
        <v>45524</v>
      </c>
      <c r="C299" s="1" t="n">
        <v>45952</v>
      </c>
      <c r="D299" t="inlineStr">
        <is>
          <t>ÖREBRO LÄN</t>
        </is>
      </c>
      <c r="E299" t="inlineStr">
        <is>
          <t>LAXÅ</t>
        </is>
      </c>
      <c r="G299" t="n">
        <v>0.5</v>
      </c>
      <c r="H299" t="n">
        <v>0</v>
      </c>
      <c r="I299" t="n">
        <v>0</v>
      </c>
      <c r="J299" t="n">
        <v>1</v>
      </c>
      <c r="K299" t="n">
        <v>0</v>
      </c>
      <c r="L299" t="n">
        <v>0</v>
      </c>
      <c r="M299" t="n">
        <v>0</v>
      </c>
      <c r="N299" t="n">
        <v>0</v>
      </c>
      <c r="O299" t="n">
        <v>1</v>
      </c>
      <c r="P299" t="n">
        <v>0</v>
      </c>
      <c r="Q299" t="n">
        <v>1</v>
      </c>
      <c r="R299" s="2" t="inlineStr">
        <is>
          <t>Vedtrappmossa</t>
        </is>
      </c>
      <c r="S299">
        <f>HYPERLINK("https://klasma.github.io/Logging_1860/artfynd/A 34285-2024 artfynd.xlsx", "A 34285-2024")</f>
        <v/>
      </c>
      <c r="T299">
        <f>HYPERLINK("https://klasma.github.io/Logging_1860/kartor/A 34285-2024 karta.png", "A 34285-2024")</f>
        <v/>
      </c>
      <c r="V299">
        <f>HYPERLINK("https://klasma.github.io/Logging_1860/klagomål/A 34285-2024 FSC-klagomål.docx", "A 34285-2024")</f>
        <v/>
      </c>
      <c r="W299">
        <f>HYPERLINK("https://klasma.github.io/Logging_1860/klagomålsmail/A 34285-2024 FSC-klagomål mail.docx", "A 34285-2024")</f>
        <v/>
      </c>
      <c r="X299">
        <f>HYPERLINK("https://klasma.github.io/Logging_1860/tillsyn/A 34285-2024 tillsynsbegäran.docx", "A 34285-2024")</f>
        <v/>
      </c>
      <c r="Y299">
        <f>HYPERLINK("https://klasma.github.io/Logging_1860/tillsynsmail/A 34285-2024 tillsynsbegäran mail.docx", "A 34285-2024")</f>
        <v/>
      </c>
    </row>
    <row r="300" ht="15" customHeight="1">
      <c r="A300" t="inlineStr">
        <is>
          <t>A 55115-2022</t>
        </is>
      </c>
      <c r="B300" s="1" t="n">
        <v>44886.64203703704</v>
      </c>
      <c r="C300" s="1" t="n">
        <v>45952</v>
      </c>
      <c r="D300" t="inlineStr">
        <is>
          <t>ÖREBRO LÄN</t>
        </is>
      </c>
      <c r="E300" t="inlineStr">
        <is>
          <t>HALLSBERG</t>
        </is>
      </c>
      <c r="F300" t="inlineStr">
        <is>
          <t>Sveaskog</t>
        </is>
      </c>
      <c r="G300" t="n">
        <v>2.4</v>
      </c>
      <c r="H300" t="n">
        <v>0</v>
      </c>
      <c r="I300" t="n">
        <v>1</v>
      </c>
      <c r="J300" t="n">
        <v>0</v>
      </c>
      <c r="K300" t="n">
        <v>0</v>
      </c>
      <c r="L300" t="n">
        <v>0</v>
      </c>
      <c r="M300" t="n">
        <v>0</v>
      </c>
      <c r="N300" t="n">
        <v>0</v>
      </c>
      <c r="O300" t="n">
        <v>0</v>
      </c>
      <c r="P300" t="n">
        <v>0</v>
      </c>
      <c r="Q300" t="n">
        <v>1</v>
      </c>
      <c r="R300" s="2" t="inlineStr">
        <is>
          <t>Blåmossa</t>
        </is>
      </c>
      <c r="S300">
        <f>HYPERLINK("https://klasma.github.io/Logging_1861/artfynd/A 55115-2022 artfynd.xlsx", "A 55115-2022")</f>
        <v/>
      </c>
      <c r="T300">
        <f>HYPERLINK("https://klasma.github.io/Logging_1861/kartor/A 55115-2022 karta.png", "A 55115-2022")</f>
        <v/>
      </c>
      <c r="V300">
        <f>HYPERLINK("https://klasma.github.io/Logging_1861/klagomål/A 55115-2022 FSC-klagomål.docx", "A 55115-2022")</f>
        <v/>
      </c>
      <c r="W300">
        <f>HYPERLINK("https://klasma.github.io/Logging_1861/klagomålsmail/A 55115-2022 FSC-klagomål mail.docx", "A 55115-2022")</f>
        <v/>
      </c>
      <c r="X300">
        <f>HYPERLINK("https://klasma.github.io/Logging_1861/tillsyn/A 55115-2022 tillsynsbegäran.docx", "A 55115-2022")</f>
        <v/>
      </c>
      <c r="Y300">
        <f>HYPERLINK("https://klasma.github.io/Logging_1861/tillsynsmail/A 55115-2022 tillsynsbegäran mail.docx", "A 55115-2022")</f>
        <v/>
      </c>
    </row>
    <row r="301" ht="15" customHeight="1">
      <c r="A301" t="inlineStr">
        <is>
          <t>A 34515-2024</t>
        </is>
      </c>
      <c r="B301" s="1" t="n">
        <v>45525</v>
      </c>
      <c r="C301" s="1" t="n">
        <v>45952</v>
      </c>
      <c r="D301" t="inlineStr">
        <is>
          <t>ÖREBRO LÄN</t>
        </is>
      </c>
      <c r="E301" t="inlineStr">
        <is>
          <t>ASKERSUND</t>
        </is>
      </c>
      <c r="F301" t="inlineStr">
        <is>
          <t>Sveaskog</t>
        </is>
      </c>
      <c r="G301" t="n">
        <v>1.5</v>
      </c>
      <c r="H301" t="n">
        <v>1</v>
      </c>
      <c r="I301" t="n">
        <v>0</v>
      </c>
      <c r="J301" t="n">
        <v>0</v>
      </c>
      <c r="K301" t="n">
        <v>0</v>
      </c>
      <c r="L301" t="n">
        <v>0</v>
      </c>
      <c r="M301" t="n">
        <v>0</v>
      </c>
      <c r="N301" t="n">
        <v>0</v>
      </c>
      <c r="O301" t="n">
        <v>0</v>
      </c>
      <c r="P301" t="n">
        <v>0</v>
      </c>
      <c r="Q301" t="n">
        <v>1</v>
      </c>
      <c r="R301" s="2" t="inlineStr">
        <is>
          <t>Gröngöling</t>
        </is>
      </c>
      <c r="S301">
        <f>HYPERLINK("https://klasma.github.io/Logging_1882/artfynd/A 34515-2024 artfynd.xlsx", "A 34515-2024")</f>
        <v/>
      </c>
      <c r="T301">
        <f>HYPERLINK("https://klasma.github.io/Logging_1882/kartor/A 34515-2024 karta.png", "A 34515-2024")</f>
        <v/>
      </c>
      <c r="V301">
        <f>HYPERLINK("https://klasma.github.io/Logging_1882/klagomål/A 34515-2024 FSC-klagomål.docx", "A 34515-2024")</f>
        <v/>
      </c>
      <c r="W301">
        <f>HYPERLINK("https://klasma.github.io/Logging_1882/klagomålsmail/A 34515-2024 FSC-klagomål mail.docx", "A 34515-2024")</f>
        <v/>
      </c>
      <c r="X301">
        <f>HYPERLINK("https://klasma.github.io/Logging_1882/tillsyn/A 34515-2024 tillsynsbegäran.docx", "A 34515-2024")</f>
        <v/>
      </c>
      <c r="Y301">
        <f>HYPERLINK("https://klasma.github.io/Logging_1882/tillsynsmail/A 34515-2024 tillsynsbegäran mail.docx", "A 34515-2024")</f>
        <v/>
      </c>
      <c r="Z301">
        <f>HYPERLINK("https://klasma.github.io/Logging_1882/fåglar/A 34515-2024 prioriterade fågelarter.docx", "A 34515-2024")</f>
        <v/>
      </c>
    </row>
    <row r="302" ht="15" customHeight="1">
      <c r="A302" t="inlineStr">
        <is>
          <t>A 44888-2024</t>
        </is>
      </c>
      <c r="B302" s="1" t="n">
        <v>45575</v>
      </c>
      <c r="C302" s="1" t="n">
        <v>45952</v>
      </c>
      <c r="D302" t="inlineStr">
        <is>
          <t>ÖREBRO LÄN</t>
        </is>
      </c>
      <c r="E302" t="inlineStr">
        <is>
          <t>ASKERSUND</t>
        </is>
      </c>
      <c r="F302" t="inlineStr">
        <is>
          <t>Sveaskog</t>
        </is>
      </c>
      <c r="G302" t="n">
        <v>2.4</v>
      </c>
      <c r="H302" t="n">
        <v>1</v>
      </c>
      <c r="I302" t="n">
        <v>0</v>
      </c>
      <c r="J302" t="n">
        <v>0</v>
      </c>
      <c r="K302" t="n">
        <v>0</v>
      </c>
      <c r="L302" t="n">
        <v>0</v>
      </c>
      <c r="M302" t="n">
        <v>0</v>
      </c>
      <c r="N302" t="n">
        <v>0</v>
      </c>
      <c r="O302" t="n">
        <v>0</v>
      </c>
      <c r="P302" t="n">
        <v>0</v>
      </c>
      <c r="Q302" t="n">
        <v>1</v>
      </c>
      <c r="R302" s="2" t="inlineStr">
        <is>
          <t>Grönvit nattviol</t>
        </is>
      </c>
      <c r="S302">
        <f>HYPERLINK("https://klasma.github.io/Logging_1882/artfynd/A 44888-2024 artfynd.xlsx", "A 44888-2024")</f>
        <v/>
      </c>
      <c r="T302">
        <f>HYPERLINK("https://klasma.github.io/Logging_1882/kartor/A 44888-2024 karta.png", "A 44888-2024")</f>
        <v/>
      </c>
      <c r="V302">
        <f>HYPERLINK("https://klasma.github.io/Logging_1882/klagomål/A 44888-2024 FSC-klagomål.docx", "A 44888-2024")</f>
        <v/>
      </c>
      <c r="W302">
        <f>HYPERLINK("https://klasma.github.io/Logging_1882/klagomålsmail/A 44888-2024 FSC-klagomål mail.docx", "A 44888-2024")</f>
        <v/>
      </c>
      <c r="X302">
        <f>HYPERLINK("https://klasma.github.io/Logging_1882/tillsyn/A 44888-2024 tillsynsbegäran.docx", "A 44888-2024")</f>
        <v/>
      </c>
      <c r="Y302">
        <f>HYPERLINK("https://klasma.github.io/Logging_1882/tillsynsmail/A 44888-2024 tillsynsbegäran mail.docx", "A 44888-2024")</f>
        <v/>
      </c>
    </row>
    <row r="303" ht="15" customHeight="1">
      <c r="A303" t="inlineStr">
        <is>
          <t>A 21440-2025</t>
        </is>
      </c>
      <c r="B303" s="1" t="n">
        <v>45782.5300462963</v>
      </c>
      <c r="C303" s="1" t="n">
        <v>45952</v>
      </c>
      <c r="D303" t="inlineStr">
        <is>
          <t>ÖREBRO LÄN</t>
        </is>
      </c>
      <c r="E303" t="inlineStr">
        <is>
          <t>LINDESBERG</t>
        </is>
      </c>
      <c r="F303" t="inlineStr">
        <is>
          <t>Sveaskog</t>
        </is>
      </c>
      <c r="G303" t="n">
        <v>1.3</v>
      </c>
      <c r="H303" t="n">
        <v>0</v>
      </c>
      <c r="I303" t="n">
        <v>0</v>
      </c>
      <c r="J303" t="n">
        <v>1</v>
      </c>
      <c r="K303" t="n">
        <v>0</v>
      </c>
      <c r="L303" t="n">
        <v>0</v>
      </c>
      <c r="M303" t="n">
        <v>0</v>
      </c>
      <c r="N303" t="n">
        <v>0</v>
      </c>
      <c r="O303" t="n">
        <v>1</v>
      </c>
      <c r="P303" t="n">
        <v>0</v>
      </c>
      <c r="Q303" t="n">
        <v>1</v>
      </c>
      <c r="R303" s="2" t="inlineStr">
        <is>
          <t>Motaggsvamp</t>
        </is>
      </c>
      <c r="S303">
        <f>HYPERLINK("https://klasma.github.io/Logging_1885/artfynd/A 21440-2025 artfynd.xlsx", "A 21440-2025")</f>
        <v/>
      </c>
      <c r="T303">
        <f>HYPERLINK("https://klasma.github.io/Logging_1885/kartor/A 21440-2025 karta.png", "A 21440-2025")</f>
        <v/>
      </c>
      <c r="V303">
        <f>HYPERLINK("https://klasma.github.io/Logging_1885/klagomål/A 21440-2025 FSC-klagomål.docx", "A 21440-2025")</f>
        <v/>
      </c>
      <c r="W303">
        <f>HYPERLINK("https://klasma.github.io/Logging_1885/klagomålsmail/A 21440-2025 FSC-klagomål mail.docx", "A 21440-2025")</f>
        <v/>
      </c>
      <c r="X303">
        <f>HYPERLINK("https://klasma.github.io/Logging_1885/tillsyn/A 21440-2025 tillsynsbegäran.docx", "A 21440-2025")</f>
        <v/>
      </c>
      <c r="Y303">
        <f>HYPERLINK("https://klasma.github.io/Logging_1885/tillsynsmail/A 21440-2025 tillsynsbegäran mail.docx", "A 21440-2025")</f>
        <v/>
      </c>
    </row>
    <row r="304" ht="15" customHeight="1">
      <c r="A304" t="inlineStr">
        <is>
          <t>A 21779-2025</t>
        </is>
      </c>
      <c r="B304" s="1" t="n">
        <v>45783.66537037037</v>
      </c>
      <c r="C304" s="1" t="n">
        <v>45952</v>
      </c>
      <c r="D304" t="inlineStr">
        <is>
          <t>ÖREBRO LÄN</t>
        </is>
      </c>
      <c r="E304" t="inlineStr">
        <is>
          <t>LINDESBERG</t>
        </is>
      </c>
      <c r="G304" t="n">
        <v>8.5</v>
      </c>
      <c r="H304" t="n">
        <v>1</v>
      </c>
      <c r="I304" t="n">
        <v>0</v>
      </c>
      <c r="J304" t="n">
        <v>0</v>
      </c>
      <c r="K304" t="n">
        <v>0</v>
      </c>
      <c r="L304" t="n">
        <v>0</v>
      </c>
      <c r="M304" t="n">
        <v>0</v>
      </c>
      <c r="N304" t="n">
        <v>0</v>
      </c>
      <c r="O304" t="n">
        <v>0</v>
      </c>
      <c r="P304" t="n">
        <v>0</v>
      </c>
      <c r="Q304" t="n">
        <v>1</v>
      </c>
      <c r="R304" s="2" t="inlineStr">
        <is>
          <t>Mindre vattensalamander</t>
        </is>
      </c>
      <c r="S304">
        <f>HYPERLINK("https://klasma.github.io/Logging_1885/artfynd/A 21779-2025 artfynd.xlsx", "A 21779-2025")</f>
        <v/>
      </c>
      <c r="T304">
        <f>HYPERLINK("https://klasma.github.io/Logging_1885/kartor/A 21779-2025 karta.png", "A 21779-2025")</f>
        <v/>
      </c>
      <c r="V304">
        <f>HYPERLINK("https://klasma.github.io/Logging_1885/klagomål/A 21779-2025 FSC-klagomål.docx", "A 21779-2025")</f>
        <v/>
      </c>
      <c r="W304">
        <f>HYPERLINK("https://klasma.github.io/Logging_1885/klagomålsmail/A 21779-2025 FSC-klagomål mail.docx", "A 21779-2025")</f>
        <v/>
      </c>
      <c r="X304">
        <f>HYPERLINK("https://klasma.github.io/Logging_1885/tillsyn/A 21779-2025 tillsynsbegäran.docx", "A 21779-2025")</f>
        <v/>
      </c>
      <c r="Y304">
        <f>HYPERLINK("https://klasma.github.io/Logging_1885/tillsynsmail/A 21779-2025 tillsynsbegäran mail.docx", "A 21779-2025")</f>
        <v/>
      </c>
    </row>
    <row r="305" ht="15" customHeight="1">
      <c r="A305" t="inlineStr">
        <is>
          <t>A 3729-2023</t>
        </is>
      </c>
      <c r="B305" s="1" t="n">
        <v>44949</v>
      </c>
      <c r="C305" s="1" t="n">
        <v>45952</v>
      </c>
      <c r="D305" t="inlineStr">
        <is>
          <t>ÖREBRO LÄN</t>
        </is>
      </c>
      <c r="E305" t="inlineStr">
        <is>
          <t>LINDESBERG</t>
        </is>
      </c>
      <c r="G305" t="n">
        <v>4</v>
      </c>
      <c r="H305" t="n">
        <v>0</v>
      </c>
      <c r="I305" t="n">
        <v>0</v>
      </c>
      <c r="J305" t="n">
        <v>1</v>
      </c>
      <c r="K305" t="n">
        <v>0</v>
      </c>
      <c r="L305" t="n">
        <v>0</v>
      </c>
      <c r="M305" t="n">
        <v>0</v>
      </c>
      <c r="N305" t="n">
        <v>0</v>
      </c>
      <c r="O305" t="n">
        <v>1</v>
      </c>
      <c r="P305" t="n">
        <v>0</v>
      </c>
      <c r="Q305" t="n">
        <v>1</v>
      </c>
      <c r="R305" s="2" t="inlineStr">
        <is>
          <t>Motaggsvamp</t>
        </is>
      </c>
      <c r="S305">
        <f>HYPERLINK("https://klasma.github.io/Logging_1885/artfynd/A 3729-2023 artfynd.xlsx", "A 3729-2023")</f>
        <v/>
      </c>
      <c r="T305">
        <f>HYPERLINK("https://klasma.github.io/Logging_1885/kartor/A 3729-2023 karta.png", "A 3729-2023")</f>
        <v/>
      </c>
      <c r="V305">
        <f>HYPERLINK("https://klasma.github.io/Logging_1885/klagomål/A 3729-2023 FSC-klagomål.docx", "A 3729-2023")</f>
        <v/>
      </c>
      <c r="W305">
        <f>HYPERLINK("https://klasma.github.io/Logging_1885/klagomålsmail/A 3729-2023 FSC-klagomål mail.docx", "A 3729-2023")</f>
        <v/>
      </c>
      <c r="X305">
        <f>HYPERLINK("https://klasma.github.io/Logging_1885/tillsyn/A 3729-2023 tillsynsbegäran.docx", "A 3729-2023")</f>
        <v/>
      </c>
      <c r="Y305">
        <f>HYPERLINK("https://klasma.github.io/Logging_1885/tillsynsmail/A 3729-2023 tillsynsbegäran mail.docx", "A 3729-2023")</f>
        <v/>
      </c>
    </row>
    <row r="306" ht="15" customHeight="1">
      <c r="A306" t="inlineStr">
        <is>
          <t>A 14619-2024</t>
        </is>
      </c>
      <c r="B306" s="1" t="n">
        <v>45397.30905092593</v>
      </c>
      <c r="C306" s="1" t="n">
        <v>45952</v>
      </c>
      <c r="D306" t="inlineStr">
        <is>
          <t>ÖREBRO LÄN</t>
        </is>
      </c>
      <c r="E306" t="inlineStr">
        <is>
          <t>HALLSBERG</t>
        </is>
      </c>
      <c r="F306" t="inlineStr">
        <is>
          <t>Sveaskog</t>
        </is>
      </c>
      <c r="G306" t="n">
        <v>2.8</v>
      </c>
      <c r="H306" t="n">
        <v>1</v>
      </c>
      <c r="I306" t="n">
        <v>0</v>
      </c>
      <c r="J306" t="n">
        <v>1</v>
      </c>
      <c r="K306" t="n">
        <v>0</v>
      </c>
      <c r="L306" t="n">
        <v>0</v>
      </c>
      <c r="M306" t="n">
        <v>0</v>
      </c>
      <c r="N306" t="n">
        <v>0</v>
      </c>
      <c r="O306" t="n">
        <v>1</v>
      </c>
      <c r="P306" t="n">
        <v>0</v>
      </c>
      <c r="Q306" t="n">
        <v>1</v>
      </c>
      <c r="R306" s="2" t="inlineStr">
        <is>
          <t>Utter</t>
        </is>
      </c>
      <c r="S306">
        <f>HYPERLINK("https://klasma.github.io/Logging_1861/artfynd/A 14619-2024 artfynd.xlsx", "A 14619-2024")</f>
        <v/>
      </c>
      <c r="T306">
        <f>HYPERLINK("https://klasma.github.io/Logging_1861/kartor/A 14619-2024 karta.png", "A 14619-2024")</f>
        <v/>
      </c>
      <c r="V306">
        <f>HYPERLINK("https://klasma.github.io/Logging_1861/klagomål/A 14619-2024 FSC-klagomål.docx", "A 14619-2024")</f>
        <v/>
      </c>
      <c r="W306">
        <f>HYPERLINK("https://klasma.github.io/Logging_1861/klagomålsmail/A 14619-2024 FSC-klagomål mail.docx", "A 14619-2024")</f>
        <v/>
      </c>
      <c r="X306">
        <f>HYPERLINK("https://klasma.github.io/Logging_1861/tillsyn/A 14619-2024 tillsynsbegäran.docx", "A 14619-2024")</f>
        <v/>
      </c>
      <c r="Y306">
        <f>HYPERLINK("https://klasma.github.io/Logging_1861/tillsynsmail/A 14619-2024 tillsynsbegäran mail.docx", "A 14619-2024")</f>
        <v/>
      </c>
    </row>
    <row r="307" ht="15" customHeight="1">
      <c r="A307" t="inlineStr">
        <is>
          <t>A 60949-2023</t>
        </is>
      </c>
      <c r="B307" s="1" t="n">
        <v>45259</v>
      </c>
      <c r="C307" s="1" t="n">
        <v>45952</v>
      </c>
      <c r="D307" t="inlineStr">
        <is>
          <t>ÖREBRO LÄN</t>
        </is>
      </c>
      <c r="E307" t="inlineStr">
        <is>
          <t>LAXÅ</t>
        </is>
      </c>
      <c r="G307" t="n">
        <v>4.7</v>
      </c>
      <c r="H307" t="n">
        <v>1</v>
      </c>
      <c r="I307" t="n">
        <v>0</v>
      </c>
      <c r="J307" t="n">
        <v>0</v>
      </c>
      <c r="K307" t="n">
        <v>0</v>
      </c>
      <c r="L307" t="n">
        <v>0</v>
      </c>
      <c r="M307" t="n">
        <v>0</v>
      </c>
      <c r="N307" t="n">
        <v>0</v>
      </c>
      <c r="O307" t="n">
        <v>0</v>
      </c>
      <c r="P307" t="n">
        <v>0</v>
      </c>
      <c r="Q307" t="n">
        <v>1</v>
      </c>
      <c r="R307" s="2" t="inlineStr">
        <is>
          <t>Revlummer</t>
        </is>
      </c>
      <c r="S307">
        <f>HYPERLINK("https://klasma.github.io/Logging_1860/artfynd/A 60949-2023 artfynd.xlsx", "A 60949-2023")</f>
        <v/>
      </c>
      <c r="T307">
        <f>HYPERLINK("https://klasma.github.io/Logging_1860/kartor/A 60949-2023 karta.png", "A 60949-2023")</f>
        <v/>
      </c>
      <c r="V307">
        <f>HYPERLINK("https://klasma.github.io/Logging_1860/klagomål/A 60949-2023 FSC-klagomål.docx", "A 60949-2023")</f>
        <v/>
      </c>
      <c r="W307">
        <f>HYPERLINK("https://klasma.github.io/Logging_1860/klagomålsmail/A 60949-2023 FSC-klagomål mail.docx", "A 60949-2023")</f>
        <v/>
      </c>
      <c r="X307">
        <f>HYPERLINK("https://klasma.github.io/Logging_1860/tillsyn/A 60949-2023 tillsynsbegäran.docx", "A 60949-2023")</f>
        <v/>
      </c>
      <c r="Y307">
        <f>HYPERLINK("https://klasma.github.io/Logging_1860/tillsynsmail/A 60949-2023 tillsynsbegäran mail.docx", "A 60949-2023")</f>
        <v/>
      </c>
    </row>
    <row r="308" ht="15" customHeight="1">
      <c r="A308" t="inlineStr">
        <is>
          <t>A 4683-2025</t>
        </is>
      </c>
      <c r="B308" s="1" t="n">
        <v>45687.86934027778</v>
      </c>
      <c r="C308" s="1" t="n">
        <v>45952</v>
      </c>
      <c r="D308" t="inlineStr">
        <is>
          <t>ÖREBRO LÄN</t>
        </is>
      </c>
      <c r="E308" t="inlineStr">
        <is>
          <t>ASKERSUND</t>
        </is>
      </c>
      <c r="G308" t="n">
        <v>1.2</v>
      </c>
      <c r="H308" t="n">
        <v>1</v>
      </c>
      <c r="I308" t="n">
        <v>0</v>
      </c>
      <c r="J308" t="n">
        <v>0</v>
      </c>
      <c r="K308" t="n">
        <v>0</v>
      </c>
      <c r="L308" t="n">
        <v>0</v>
      </c>
      <c r="M308" t="n">
        <v>0</v>
      </c>
      <c r="N308" t="n">
        <v>0</v>
      </c>
      <c r="O308" t="n">
        <v>0</v>
      </c>
      <c r="P308" t="n">
        <v>0</v>
      </c>
      <c r="Q308" t="n">
        <v>1</v>
      </c>
      <c r="R308" s="2" t="inlineStr">
        <is>
          <t>Mattlummer</t>
        </is>
      </c>
      <c r="S308">
        <f>HYPERLINK("https://klasma.github.io/Logging_1882/artfynd/A 4683-2025 artfynd.xlsx", "A 4683-2025")</f>
        <v/>
      </c>
      <c r="T308">
        <f>HYPERLINK("https://klasma.github.io/Logging_1882/kartor/A 4683-2025 karta.png", "A 4683-2025")</f>
        <v/>
      </c>
      <c r="V308">
        <f>HYPERLINK("https://klasma.github.io/Logging_1882/klagomål/A 4683-2025 FSC-klagomål.docx", "A 4683-2025")</f>
        <v/>
      </c>
      <c r="W308">
        <f>HYPERLINK("https://klasma.github.io/Logging_1882/klagomålsmail/A 4683-2025 FSC-klagomål mail.docx", "A 4683-2025")</f>
        <v/>
      </c>
      <c r="X308">
        <f>HYPERLINK("https://klasma.github.io/Logging_1882/tillsyn/A 4683-2025 tillsynsbegäran.docx", "A 4683-2025")</f>
        <v/>
      </c>
      <c r="Y308">
        <f>HYPERLINK("https://klasma.github.io/Logging_1882/tillsynsmail/A 4683-2025 tillsynsbegäran mail.docx", "A 4683-2025")</f>
        <v/>
      </c>
    </row>
    <row r="309" ht="15" customHeight="1">
      <c r="A309" t="inlineStr">
        <is>
          <t>A 42636-2023</t>
        </is>
      </c>
      <c r="B309" s="1" t="n">
        <v>45181.49559027778</v>
      </c>
      <c r="C309" s="1" t="n">
        <v>45952</v>
      </c>
      <c r="D309" t="inlineStr">
        <is>
          <t>ÖREBRO LÄN</t>
        </is>
      </c>
      <c r="E309" t="inlineStr">
        <is>
          <t>ÖREBRO</t>
        </is>
      </c>
      <c r="G309" t="n">
        <v>1.7</v>
      </c>
      <c r="H309" t="n">
        <v>0</v>
      </c>
      <c r="I309" t="n">
        <v>0</v>
      </c>
      <c r="J309" t="n">
        <v>1</v>
      </c>
      <c r="K309" t="n">
        <v>0</v>
      </c>
      <c r="L309" t="n">
        <v>0</v>
      </c>
      <c r="M309" t="n">
        <v>0</v>
      </c>
      <c r="N309" t="n">
        <v>0</v>
      </c>
      <c r="O309" t="n">
        <v>1</v>
      </c>
      <c r="P309" t="n">
        <v>0</v>
      </c>
      <c r="Q309" t="n">
        <v>1</v>
      </c>
      <c r="R309" s="2" t="inlineStr">
        <is>
          <t>Igelkott</t>
        </is>
      </c>
      <c r="S309">
        <f>HYPERLINK("https://klasma.github.io/Logging_1880/artfynd/A 42636-2023 artfynd.xlsx", "A 42636-2023")</f>
        <v/>
      </c>
      <c r="T309">
        <f>HYPERLINK("https://klasma.github.io/Logging_1880/kartor/A 42636-2023 karta.png", "A 42636-2023")</f>
        <v/>
      </c>
      <c r="V309">
        <f>HYPERLINK("https://klasma.github.io/Logging_1880/klagomål/A 42636-2023 FSC-klagomål.docx", "A 42636-2023")</f>
        <v/>
      </c>
      <c r="W309">
        <f>HYPERLINK("https://klasma.github.io/Logging_1880/klagomålsmail/A 42636-2023 FSC-klagomål mail.docx", "A 42636-2023")</f>
        <v/>
      </c>
      <c r="X309">
        <f>HYPERLINK("https://klasma.github.io/Logging_1880/tillsyn/A 42636-2023 tillsynsbegäran.docx", "A 42636-2023")</f>
        <v/>
      </c>
      <c r="Y309">
        <f>HYPERLINK("https://klasma.github.io/Logging_1880/tillsynsmail/A 42636-2023 tillsynsbegäran mail.docx", "A 42636-2023")</f>
        <v/>
      </c>
    </row>
    <row r="310" ht="15" customHeight="1">
      <c r="A310" t="inlineStr">
        <is>
          <t>A 28598-2024</t>
        </is>
      </c>
      <c r="B310" s="1" t="n">
        <v>45478.42475694444</v>
      </c>
      <c r="C310" s="1" t="n">
        <v>45952</v>
      </c>
      <c r="D310" t="inlineStr">
        <is>
          <t>ÖREBRO LÄN</t>
        </is>
      </c>
      <c r="E310" t="inlineStr">
        <is>
          <t>HÄLLEFORS</t>
        </is>
      </c>
      <c r="F310" t="inlineStr">
        <is>
          <t>Bergvik skog väst AB</t>
        </is>
      </c>
      <c r="G310" t="n">
        <v>11.3</v>
      </c>
      <c r="H310" t="n">
        <v>0</v>
      </c>
      <c r="I310" t="n">
        <v>0</v>
      </c>
      <c r="J310" t="n">
        <v>1</v>
      </c>
      <c r="K310" t="n">
        <v>0</v>
      </c>
      <c r="L310" t="n">
        <v>0</v>
      </c>
      <c r="M310" t="n">
        <v>0</v>
      </c>
      <c r="N310" t="n">
        <v>0</v>
      </c>
      <c r="O310" t="n">
        <v>1</v>
      </c>
      <c r="P310" t="n">
        <v>0</v>
      </c>
      <c r="Q310" t="n">
        <v>1</v>
      </c>
      <c r="R310" s="2" t="inlineStr">
        <is>
          <t>Brunklöver</t>
        </is>
      </c>
      <c r="S310">
        <f>HYPERLINK("https://klasma.github.io/Logging_1863/artfynd/A 28598-2024 artfynd.xlsx", "A 28598-2024")</f>
        <v/>
      </c>
      <c r="T310">
        <f>HYPERLINK("https://klasma.github.io/Logging_1863/kartor/A 28598-2024 karta.png", "A 28598-2024")</f>
        <v/>
      </c>
      <c r="V310">
        <f>HYPERLINK("https://klasma.github.io/Logging_1863/klagomål/A 28598-2024 FSC-klagomål.docx", "A 28598-2024")</f>
        <v/>
      </c>
      <c r="W310">
        <f>HYPERLINK("https://klasma.github.io/Logging_1863/klagomålsmail/A 28598-2024 FSC-klagomål mail.docx", "A 28598-2024")</f>
        <v/>
      </c>
      <c r="X310">
        <f>HYPERLINK("https://klasma.github.io/Logging_1863/tillsyn/A 28598-2024 tillsynsbegäran.docx", "A 28598-2024")</f>
        <v/>
      </c>
      <c r="Y310">
        <f>HYPERLINK("https://klasma.github.io/Logging_1863/tillsynsmail/A 28598-2024 tillsynsbegäran mail.docx", "A 28598-2024")</f>
        <v/>
      </c>
    </row>
    <row r="311" ht="15" customHeight="1">
      <c r="A311" t="inlineStr">
        <is>
          <t>A 22805-2025</t>
        </is>
      </c>
      <c r="B311" s="1" t="n">
        <v>45789</v>
      </c>
      <c r="C311" s="1" t="n">
        <v>45952</v>
      </c>
      <c r="D311" t="inlineStr">
        <is>
          <t>ÖREBRO LÄN</t>
        </is>
      </c>
      <c r="E311" t="inlineStr">
        <is>
          <t>LEKEBERG</t>
        </is>
      </c>
      <c r="G311" t="n">
        <v>7.7</v>
      </c>
      <c r="H311" t="n">
        <v>1</v>
      </c>
      <c r="I311" t="n">
        <v>0</v>
      </c>
      <c r="J311" t="n">
        <v>1</v>
      </c>
      <c r="K311" t="n">
        <v>0</v>
      </c>
      <c r="L311" t="n">
        <v>0</v>
      </c>
      <c r="M311" t="n">
        <v>0</v>
      </c>
      <c r="N311" t="n">
        <v>0</v>
      </c>
      <c r="O311" t="n">
        <v>1</v>
      </c>
      <c r="P311" t="n">
        <v>0</v>
      </c>
      <c r="Q311" t="n">
        <v>1</v>
      </c>
      <c r="R311" s="2" t="inlineStr">
        <is>
          <t>Spillkråka</t>
        </is>
      </c>
      <c r="S311">
        <f>HYPERLINK("https://klasma.github.io/Logging_1814/artfynd/A 22805-2025 artfynd.xlsx", "A 22805-2025")</f>
        <v/>
      </c>
      <c r="T311">
        <f>HYPERLINK("https://klasma.github.io/Logging_1814/kartor/A 22805-2025 karta.png", "A 22805-2025")</f>
        <v/>
      </c>
      <c r="V311">
        <f>HYPERLINK("https://klasma.github.io/Logging_1814/klagomål/A 22805-2025 FSC-klagomål.docx", "A 22805-2025")</f>
        <v/>
      </c>
      <c r="W311">
        <f>HYPERLINK("https://klasma.github.io/Logging_1814/klagomålsmail/A 22805-2025 FSC-klagomål mail.docx", "A 22805-2025")</f>
        <v/>
      </c>
      <c r="X311">
        <f>HYPERLINK("https://klasma.github.io/Logging_1814/tillsyn/A 22805-2025 tillsynsbegäran.docx", "A 22805-2025")</f>
        <v/>
      </c>
      <c r="Y311">
        <f>HYPERLINK("https://klasma.github.io/Logging_1814/tillsynsmail/A 22805-2025 tillsynsbegäran mail.docx", "A 22805-2025")</f>
        <v/>
      </c>
      <c r="Z311">
        <f>HYPERLINK("https://klasma.github.io/Logging_1814/fåglar/A 22805-2025 prioriterade fågelarter.docx", "A 22805-2025")</f>
        <v/>
      </c>
    </row>
    <row r="312" ht="15" customHeight="1">
      <c r="A312" t="inlineStr">
        <is>
          <t>A 421-2025</t>
        </is>
      </c>
      <c r="B312" s="1" t="n">
        <v>45663.949375</v>
      </c>
      <c r="C312" s="1" t="n">
        <v>45952</v>
      </c>
      <c r="D312" t="inlineStr">
        <is>
          <t>ÖREBRO LÄN</t>
        </is>
      </c>
      <c r="E312" t="inlineStr">
        <is>
          <t>HÄLLEFORS</t>
        </is>
      </c>
      <c r="F312" t="inlineStr">
        <is>
          <t>Bergvik skog väst AB</t>
        </is>
      </c>
      <c r="G312" t="n">
        <v>13.3</v>
      </c>
      <c r="H312" t="n">
        <v>0</v>
      </c>
      <c r="I312" t="n">
        <v>1</v>
      </c>
      <c r="J312" t="n">
        <v>0</v>
      </c>
      <c r="K312" t="n">
        <v>0</v>
      </c>
      <c r="L312" t="n">
        <v>0</v>
      </c>
      <c r="M312" t="n">
        <v>0</v>
      </c>
      <c r="N312" t="n">
        <v>0</v>
      </c>
      <c r="O312" t="n">
        <v>0</v>
      </c>
      <c r="P312" t="n">
        <v>0</v>
      </c>
      <c r="Q312" t="n">
        <v>1</v>
      </c>
      <c r="R312" s="2" t="inlineStr">
        <is>
          <t>Blek stjärnmossa</t>
        </is>
      </c>
      <c r="S312">
        <f>HYPERLINK("https://klasma.github.io/Logging_1863/artfynd/A 421-2025 artfynd.xlsx", "A 421-2025")</f>
        <v/>
      </c>
      <c r="T312">
        <f>HYPERLINK("https://klasma.github.io/Logging_1863/kartor/A 421-2025 karta.png", "A 421-2025")</f>
        <v/>
      </c>
      <c r="V312">
        <f>HYPERLINK("https://klasma.github.io/Logging_1863/klagomål/A 421-2025 FSC-klagomål.docx", "A 421-2025")</f>
        <v/>
      </c>
      <c r="W312">
        <f>HYPERLINK("https://klasma.github.io/Logging_1863/klagomålsmail/A 421-2025 FSC-klagomål mail.docx", "A 421-2025")</f>
        <v/>
      </c>
      <c r="X312">
        <f>HYPERLINK("https://klasma.github.io/Logging_1863/tillsyn/A 421-2025 tillsynsbegäran.docx", "A 421-2025")</f>
        <v/>
      </c>
      <c r="Y312">
        <f>HYPERLINK("https://klasma.github.io/Logging_1863/tillsynsmail/A 421-2025 tillsynsbegäran mail.docx", "A 421-2025")</f>
        <v/>
      </c>
    </row>
    <row r="313" ht="15" customHeight="1">
      <c r="A313" t="inlineStr">
        <is>
          <t>A 2077-2023</t>
        </is>
      </c>
      <c r="B313" s="1" t="n">
        <v>44939</v>
      </c>
      <c r="C313" s="1" t="n">
        <v>45952</v>
      </c>
      <c r="D313" t="inlineStr">
        <is>
          <t>ÖREBRO LÄN</t>
        </is>
      </c>
      <c r="E313" t="inlineStr">
        <is>
          <t>ÖREBRO</t>
        </is>
      </c>
      <c r="G313" t="n">
        <v>1.4</v>
      </c>
      <c r="H313" t="n">
        <v>1</v>
      </c>
      <c r="I313" t="n">
        <v>0</v>
      </c>
      <c r="J313" t="n">
        <v>1</v>
      </c>
      <c r="K313" t="n">
        <v>0</v>
      </c>
      <c r="L313" t="n">
        <v>0</v>
      </c>
      <c r="M313" t="n">
        <v>0</v>
      </c>
      <c r="N313" t="n">
        <v>0</v>
      </c>
      <c r="O313" t="n">
        <v>1</v>
      </c>
      <c r="P313" t="n">
        <v>0</v>
      </c>
      <c r="Q313" t="n">
        <v>1</v>
      </c>
      <c r="R313" s="2" t="inlineStr">
        <is>
          <t>Rödvingetrast</t>
        </is>
      </c>
      <c r="S313">
        <f>HYPERLINK("https://klasma.github.io/Logging_1880/artfynd/A 2077-2023 artfynd.xlsx", "A 2077-2023")</f>
        <v/>
      </c>
      <c r="T313">
        <f>HYPERLINK("https://klasma.github.io/Logging_1880/kartor/A 2077-2023 karta.png", "A 2077-2023")</f>
        <v/>
      </c>
      <c r="V313">
        <f>HYPERLINK("https://klasma.github.io/Logging_1880/klagomål/A 2077-2023 FSC-klagomål.docx", "A 2077-2023")</f>
        <v/>
      </c>
      <c r="W313">
        <f>HYPERLINK("https://klasma.github.io/Logging_1880/klagomålsmail/A 2077-2023 FSC-klagomål mail.docx", "A 2077-2023")</f>
        <v/>
      </c>
      <c r="X313">
        <f>HYPERLINK("https://klasma.github.io/Logging_1880/tillsyn/A 2077-2023 tillsynsbegäran.docx", "A 2077-2023")</f>
        <v/>
      </c>
      <c r="Y313">
        <f>HYPERLINK("https://klasma.github.io/Logging_1880/tillsynsmail/A 2077-2023 tillsynsbegäran mail.docx", "A 2077-2023")</f>
        <v/>
      </c>
      <c r="Z313">
        <f>HYPERLINK("https://klasma.github.io/Logging_1880/fåglar/A 2077-2023 prioriterade fågelarter.docx", "A 2077-2023")</f>
        <v/>
      </c>
    </row>
    <row r="314" ht="15" customHeight="1">
      <c r="A314" t="inlineStr">
        <is>
          <t>A 7470-2025</t>
        </is>
      </c>
      <c r="B314" s="1" t="n">
        <v>45705</v>
      </c>
      <c r="C314" s="1" t="n">
        <v>45952</v>
      </c>
      <c r="D314" t="inlineStr">
        <is>
          <t>ÖREBRO LÄN</t>
        </is>
      </c>
      <c r="E314" t="inlineStr">
        <is>
          <t>HALLSBERG</t>
        </is>
      </c>
      <c r="G314" t="n">
        <v>8.5</v>
      </c>
      <c r="H314" t="n">
        <v>0</v>
      </c>
      <c r="I314" t="n">
        <v>1</v>
      </c>
      <c r="J314" t="n">
        <v>0</v>
      </c>
      <c r="K314" t="n">
        <v>0</v>
      </c>
      <c r="L314" t="n">
        <v>0</v>
      </c>
      <c r="M314" t="n">
        <v>0</v>
      </c>
      <c r="N314" t="n">
        <v>0</v>
      </c>
      <c r="O314" t="n">
        <v>0</v>
      </c>
      <c r="P314" t="n">
        <v>0</v>
      </c>
      <c r="Q314" t="n">
        <v>1</v>
      </c>
      <c r="R314" s="2" t="inlineStr">
        <is>
          <t>Dropptaggsvamp</t>
        </is>
      </c>
      <c r="S314">
        <f>HYPERLINK("https://klasma.github.io/Logging_1861/artfynd/A 7470-2025 artfynd.xlsx", "A 7470-2025")</f>
        <v/>
      </c>
      <c r="T314">
        <f>HYPERLINK("https://klasma.github.io/Logging_1861/kartor/A 7470-2025 karta.png", "A 7470-2025")</f>
        <v/>
      </c>
      <c r="V314">
        <f>HYPERLINK("https://klasma.github.io/Logging_1861/klagomål/A 7470-2025 FSC-klagomål.docx", "A 7470-2025")</f>
        <v/>
      </c>
      <c r="W314">
        <f>HYPERLINK("https://klasma.github.io/Logging_1861/klagomålsmail/A 7470-2025 FSC-klagomål mail.docx", "A 7470-2025")</f>
        <v/>
      </c>
      <c r="X314">
        <f>HYPERLINK("https://klasma.github.io/Logging_1861/tillsyn/A 7470-2025 tillsynsbegäran.docx", "A 7470-2025")</f>
        <v/>
      </c>
      <c r="Y314">
        <f>HYPERLINK("https://klasma.github.io/Logging_1861/tillsynsmail/A 7470-2025 tillsynsbegäran mail.docx", "A 7470-2025")</f>
        <v/>
      </c>
    </row>
    <row r="315" ht="15" customHeight="1">
      <c r="A315" t="inlineStr">
        <is>
          <t>A 17018-2023</t>
        </is>
      </c>
      <c r="B315" s="1" t="n">
        <v>45034</v>
      </c>
      <c r="C315" s="1" t="n">
        <v>45952</v>
      </c>
      <c r="D315" t="inlineStr">
        <is>
          <t>ÖREBRO LÄN</t>
        </is>
      </c>
      <c r="E315" t="inlineStr">
        <is>
          <t>HALLSBERG</t>
        </is>
      </c>
      <c r="G315" t="n">
        <v>5.6</v>
      </c>
      <c r="H315" t="n">
        <v>1</v>
      </c>
      <c r="I315" t="n">
        <v>0</v>
      </c>
      <c r="J315" t="n">
        <v>0</v>
      </c>
      <c r="K315" t="n">
        <v>0</v>
      </c>
      <c r="L315" t="n">
        <v>0</v>
      </c>
      <c r="M315" t="n">
        <v>0</v>
      </c>
      <c r="N315" t="n">
        <v>0</v>
      </c>
      <c r="O315" t="n">
        <v>0</v>
      </c>
      <c r="P315" t="n">
        <v>0</v>
      </c>
      <c r="Q315" t="n">
        <v>1</v>
      </c>
      <c r="R315" s="2" t="inlineStr">
        <is>
          <t>Gullviva</t>
        </is>
      </c>
      <c r="S315">
        <f>HYPERLINK("https://klasma.github.io/Logging_1861/artfynd/A 17018-2023 artfynd.xlsx", "A 17018-2023")</f>
        <v/>
      </c>
      <c r="T315">
        <f>HYPERLINK("https://klasma.github.io/Logging_1861/kartor/A 17018-2023 karta.png", "A 17018-2023")</f>
        <v/>
      </c>
      <c r="V315">
        <f>HYPERLINK("https://klasma.github.io/Logging_1861/klagomål/A 17018-2023 FSC-klagomål.docx", "A 17018-2023")</f>
        <v/>
      </c>
      <c r="W315">
        <f>HYPERLINK("https://klasma.github.io/Logging_1861/klagomålsmail/A 17018-2023 FSC-klagomål mail.docx", "A 17018-2023")</f>
        <v/>
      </c>
      <c r="X315">
        <f>HYPERLINK("https://klasma.github.io/Logging_1861/tillsyn/A 17018-2023 tillsynsbegäran.docx", "A 17018-2023")</f>
        <v/>
      </c>
      <c r="Y315">
        <f>HYPERLINK("https://klasma.github.io/Logging_1861/tillsynsmail/A 17018-2023 tillsynsbegäran mail.docx", "A 17018-2023")</f>
        <v/>
      </c>
    </row>
    <row r="316" ht="15" customHeight="1">
      <c r="A316" t="inlineStr">
        <is>
          <t>A 63535-2021</t>
        </is>
      </c>
      <c r="B316" s="1" t="n">
        <v>44508</v>
      </c>
      <c r="C316" s="1" t="n">
        <v>45952</v>
      </c>
      <c r="D316" t="inlineStr">
        <is>
          <t>ÖREBRO LÄN</t>
        </is>
      </c>
      <c r="E316" t="inlineStr">
        <is>
          <t>ASKERSUND</t>
        </is>
      </c>
      <c r="G316" t="n">
        <v>0.8</v>
      </c>
      <c r="H316" t="n">
        <v>0</v>
      </c>
      <c r="I316" t="n">
        <v>0</v>
      </c>
      <c r="J316" t="n">
        <v>1</v>
      </c>
      <c r="K316" t="n">
        <v>0</v>
      </c>
      <c r="L316" t="n">
        <v>0</v>
      </c>
      <c r="M316" t="n">
        <v>0</v>
      </c>
      <c r="N316" t="n">
        <v>0</v>
      </c>
      <c r="O316" t="n">
        <v>1</v>
      </c>
      <c r="P316" t="n">
        <v>0</v>
      </c>
      <c r="Q316" t="n">
        <v>1</v>
      </c>
      <c r="R316" s="2" t="inlineStr">
        <is>
          <t>Humlerotfjäril</t>
        </is>
      </c>
      <c r="S316">
        <f>HYPERLINK("https://klasma.github.io/Logging_1882/artfynd/A 63535-2021 artfynd.xlsx", "A 63535-2021")</f>
        <v/>
      </c>
      <c r="T316">
        <f>HYPERLINK("https://klasma.github.io/Logging_1882/kartor/A 63535-2021 karta.png", "A 63535-2021")</f>
        <v/>
      </c>
      <c r="V316">
        <f>HYPERLINK("https://klasma.github.io/Logging_1882/klagomål/A 63535-2021 FSC-klagomål.docx", "A 63535-2021")</f>
        <v/>
      </c>
      <c r="W316">
        <f>HYPERLINK("https://klasma.github.io/Logging_1882/klagomålsmail/A 63535-2021 FSC-klagomål mail.docx", "A 63535-2021")</f>
        <v/>
      </c>
      <c r="X316">
        <f>HYPERLINK("https://klasma.github.io/Logging_1882/tillsyn/A 63535-2021 tillsynsbegäran.docx", "A 63535-2021")</f>
        <v/>
      </c>
      <c r="Y316">
        <f>HYPERLINK("https://klasma.github.io/Logging_1882/tillsynsmail/A 63535-2021 tillsynsbegäran mail.docx", "A 63535-2021")</f>
        <v/>
      </c>
    </row>
    <row r="317" ht="15" customHeight="1">
      <c r="A317" t="inlineStr">
        <is>
          <t>A 23998-2025</t>
        </is>
      </c>
      <c r="B317" s="1" t="n">
        <v>45796.42209490741</v>
      </c>
      <c r="C317" s="1" t="n">
        <v>45952</v>
      </c>
      <c r="D317" t="inlineStr">
        <is>
          <t>ÖREBRO LÄN</t>
        </is>
      </c>
      <c r="E317" t="inlineStr">
        <is>
          <t>ÖREBRO</t>
        </is>
      </c>
      <c r="G317" t="n">
        <v>4.7</v>
      </c>
      <c r="H317" t="n">
        <v>0</v>
      </c>
      <c r="I317" t="n">
        <v>1</v>
      </c>
      <c r="J317" t="n">
        <v>0</v>
      </c>
      <c r="K317" t="n">
        <v>0</v>
      </c>
      <c r="L317" t="n">
        <v>0</v>
      </c>
      <c r="M317" t="n">
        <v>0</v>
      </c>
      <c r="N317" t="n">
        <v>0</v>
      </c>
      <c r="O317" t="n">
        <v>0</v>
      </c>
      <c r="P317" t="n">
        <v>0</v>
      </c>
      <c r="Q317" t="n">
        <v>1</v>
      </c>
      <c r="R317" s="2" t="inlineStr">
        <is>
          <t>Kambräken</t>
        </is>
      </c>
      <c r="S317">
        <f>HYPERLINK("https://klasma.github.io/Logging_1880/artfynd/A 23998-2025 artfynd.xlsx", "A 23998-2025")</f>
        <v/>
      </c>
      <c r="T317">
        <f>HYPERLINK("https://klasma.github.io/Logging_1880/kartor/A 23998-2025 karta.png", "A 23998-2025")</f>
        <v/>
      </c>
      <c r="V317">
        <f>HYPERLINK("https://klasma.github.io/Logging_1880/klagomål/A 23998-2025 FSC-klagomål.docx", "A 23998-2025")</f>
        <v/>
      </c>
      <c r="W317">
        <f>HYPERLINK("https://klasma.github.io/Logging_1880/klagomålsmail/A 23998-2025 FSC-klagomål mail.docx", "A 23998-2025")</f>
        <v/>
      </c>
      <c r="X317">
        <f>HYPERLINK("https://klasma.github.io/Logging_1880/tillsyn/A 23998-2025 tillsynsbegäran.docx", "A 23998-2025")</f>
        <v/>
      </c>
      <c r="Y317">
        <f>HYPERLINK("https://klasma.github.io/Logging_1880/tillsynsmail/A 23998-2025 tillsynsbegäran mail.docx", "A 23998-2025")</f>
        <v/>
      </c>
    </row>
    <row r="318" ht="15" customHeight="1">
      <c r="A318" t="inlineStr">
        <is>
          <t>A 55904-2024</t>
        </is>
      </c>
      <c r="B318" s="1" t="n">
        <v>45623.58190972222</v>
      </c>
      <c r="C318" s="1" t="n">
        <v>45952</v>
      </c>
      <c r="D318" t="inlineStr">
        <is>
          <t>ÖREBRO LÄN</t>
        </is>
      </c>
      <c r="E318" t="inlineStr">
        <is>
          <t>ÖREBRO</t>
        </is>
      </c>
      <c r="G318" t="n">
        <v>1.2</v>
      </c>
      <c r="H318" t="n">
        <v>1</v>
      </c>
      <c r="I318" t="n">
        <v>0</v>
      </c>
      <c r="J318" t="n">
        <v>0</v>
      </c>
      <c r="K318" t="n">
        <v>0</v>
      </c>
      <c r="L318" t="n">
        <v>0</v>
      </c>
      <c r="M318" t="n">
        <v>0</v>
      </c>
      <c r="N318" t="n">
        <v>0</v>
      </c>
      <c r="O318" t="n">
        <v>0</v>
      </c>
      <c r="P318" t="n">
        <v>0</v>
      </c>
      <c r="Q318" t="n">
        <v>1</v>
      </c>
      <c r="R318" s="2" t="inlineStr">
        <is>
          <t>Trana</t>
        </is>
      </c>
      <c r="S318">
        <f>HYPERLINK("https://klasma.github.io/Logging_1880/artfynd/A 55904-2024 artfynd.xlsx", "A 55904-2024")</f>
        <v/>
      </c>
      <c r="T318">
        <f>HYPERLINK("https://klasma.github.io/Logging_1880/kartor/A 55904-2024 karta.png", "A 55904-2024")</f>
        <v/>
      </c>
      <c r="V318">
        <f>HYPERLINK("https://klasma.github.io/Logging_1880/klagomål/A 55904-2024 FSC-klagomål.docx", "A 55904-2024")</f>
        <v/>
      </c>
      <c r="W318">
        <f>HYPERLINK("https://klasma.github.io/Logging_1880/klagomålsmail/A 55904-2024 FSC-klagomål mail.docx", "A 55904-2024")</f>
        <v/>
      </c>
      <c r="X318">
        <f>HYPERLINK("https://klasma.github.io/Logging_1880/tillsyn/A 55904-2024 tillsynsbegäran.docx", "A 55904-2024")</f>
        <v/>
      </c>
      <c r="Y318">
        <f>HYPERLINK("https://klasma.github.io/Logging_1880/tillsynsmail/A 55904-2024 tillsynsbegäran mail.docx", "A 55904-2024")</f>
        <v/>
      </c>
      <c r="Z318">
        <f>HYPERLINK("https://klasma.github.io/Logging_1880/fåglar/A 55904-2024 prioriterade fågelarter.docx", "A 55904-2024")</f>
        <v/>
      </c>
    </row>
    <row r="319" ht="15" customHeight="1">
      <c r="A319" t="inlineStr">
        <is>
          <t>A 55749-2024</t>
        </is>
      </c>
      <c r="B319" s="1" t="n">
        <v>45623.32523148148</v>
      </c>
      <c r="C319" s="1" t="n">
        <v>45952</v>
      </c>
      <c r="D319" t="inlineStr">
        <is>
          <t>ÖREBRO LÄN</t>
        </is>
      </c>
      <c r="E319" t="inlineStr">
        <is>
          <t>HÄLLEFORS</t>
        </is>
      </c>
      <c r="F319" t="inlineStr">
        <is>
          <t>Bergvik skog väst AB</t>
        </is>
      </c>
      <c r="G319" t="n">
        <v>2.9</v>
      </c>
      <c r="H319" t="n">
        <v>0</v>
      </c>
      <c r="I319" t="n">
        <v>0</v>
      </c>
      <c r="J319" t="n">
        <v>1</v>
      </c>
      <c r="K319" t="n">
        <v>0</v>
      </c>
      <c r="L319" t="n">
        <v>0</v>
      </c>
      <c r="M319" t="n">
        <v>0</v>
      </c>
      <c r="N319" t="n">
        <v>0</v>
      </c>
      <c r="O319" t="n">
        <v>1</v>
      </c>
      <c r="P319" t="n">
        <v>0</v>
      </c>
      <c r="Q319" t="n">
        <v>1</v>
      </c>
      <c r="R319" s="2" t="inlineStr">
        <is>
          <t>Garnlav</t>
        </is>
      </c>
      <c r="S319">
        <f>HYPERLINK("https://klasma.github.io/Logging_1863/artfynd/A 55749-2024 artfynd.xlsx", "A 55749-2024")</f>
        <v/>
      </c>
      <c r="T319">
        <f>HYPERLINK("https://klasma.github.io/Logging_1863/kartor/A 55749-2024 karta.png", "A 55749-2024")</f>
        <v/>
      </c>
      <c r="V319">
        <f>HYPERLINK("https://klasma.github.io/Logging_1863/klagomål/A 55749-2024 FSC-klagomål.docx", "A 55749-2024")</f>
        <v/>
      </c>
      <c r="W319">
        <f>HYPERLINK("https://klasma.github.io/Logging_1863/klagomålsmail/A 55749-2024 FSC-klagomål mail.docx", "A 55749-2024")</f>
        <v/>
      </c>
      <c r="X319">
        <f>HYPERLINK("https://klasma.github.io/Logging_1863/tillsyn/A 55749-2024 tillsynsbegäran.docx", "A 55749-2024")</f>
        <v/>
      </c>
      <c r="Y319">
        <f>HYPERLINK("https://klasma.github.io/Logging_1863/tillsynsmail/A 55749-2024 tillsynsbegäran mail.docx", "A 55749-2024")</f>
        <v/>
      </c>
    </row>
    <row r="320" ht="15" customHeight="1">
      <c r="A320" t="inlineStr">
        <is>
          <t>A 14985-2024</t>
        </is>
      </c>
      <c r="B320" s="1" t="n">
        <v>45399.34171296296</v>
      </c>
      <c r="C320" s="1" t="n">
        <v>45952</v>
      </c>
      <c r="D320" t="inlineStr">
        <is>
          <t>ÖREBRO LÄN</t>
        </is>
      </c>
      <c r="E320" t="inlineStr">
        <is>
          <t>HÄLLEFORS</t>
        </is>
      </c>
      <c r="F320" t="inlineStr">
        <is>
          <t>Bergvik skog väst AB</t>
        </is>
      </c>
      <c r="G320" t="n">
        <v>6.8</v>
      </c>
      <c r="H320" t="n">
        <v>1</v>
      </c>
      <c r="I320" t="n">
        <v>0</v>
      </c>
      <c r="J320" t="n">
        <v>0</v>
      </c>
      <c r="K320" t="n">
        <v>0</v>
      </c>
      <c r="L320" t="n">
        <v>0</v>
      </c>
      <c r="M320" t="n">
        <v>0</v>
      </c>
      <c r="N320" t="n">
        <v>0</v>
      </c>
      <c r="O320" t="n">
        <v>0</v>
      </c>
      <c r="P320" t="n">
        <v>0</v>
      </c>
      <c r="Q320" t="n">
        <v>1</v>
      </c>
      <c r="R320" s="2" t="inlineStr">
        <is>
          <t>Mattlummer</t>
        </is>
      </c>
      <c r="S320">
        <f>HYPERLINK("https://klasma.github.io/Logging_1863/artfynd/A 14985-2024 artfynd.xlsx", "A 14985-2024")</f>
        <v/>
      </c>
      <c r="T320">
        <f>HYPERLINK("https://klasma.github.io/Logging_1863/kartor/A 14985-2024 karta.png", "A 14985-2024")</f>
        <v/>
      </c>
      <c r="V320">
        <f>HYPERLINK("https://klasma.github.io/Logging_1863/klagomål/A 14985-2024 FSC-klagomål.docx", "A 14985-2024")</f>
        <v/>
      </c>
      <c r="W320">
        <f>HYPERLINK("https://klasma.github.io/Logging_1863/klagomålsmail/A 14985-2024 FSC-klagomål mail.docx", "A 14985-2024")</f>
        <v/>
      </c>
      <c r="X320">
        <f>HYPERLINK("https://klasma.github.io/Logging_1863/tillsyn/A 14985-2024 tillsynsbegäran.docx", "A 14985-2024")</f>
        <v/>
      </c>
      <c r="Y320">
        <f>HYPERLINK("https://klasma.github.io/Logging_1863/tillsynsmail/A 14985-2024 tillsynsbegäran mail.docx", "A 14985-2024")</f>
        <v/>
      </c>
    </row>
    <row r="321" ht="15" customHeight="1">
      <c r="A321" t="inlineStr">
        <is>
          <t>A 30189-2022</t>
        </is>
      </c>
      <c r="B321" s="1" t="n">
        <v>44757</v>
      </c>
      <c r="C321" s="1" t="n">
        <v>45952</v>
      </c>
      <c r="D321" t="inlineStr">
        <is>
          <t>ÖREBRO LÄN</t>
        </is>
      </c>
      <c r="E321" t="inlineStr">
        <is>
          <t>ASKERSUND</t>
        </is>
      </c>
      <c r="G321" t="n">
        <v>2</v>
      </c>
      <c r="H321" t="n">
        <v>0</v>
      </c>
      <c r="I321" t="n">
        <v>0</v>
      </c>
      <c r="J321" t="n">
        <v>1</v>
      </c>
      <c r="K321" t="n">
        <v>0</v>
      </c>
      <c r="L321" t="n">
        <v>0</v>
      </c>
      <c r="M321" t="n">
        <v>0</v>
      </c>
      <c r="N321" t="n">
        <v>0</v>
      </c>
      <c r="O321" t="n">
        <v>1</v>
      </c>
      <c r="P321" t="n">
        <v>0</v>
      </c>
      <c r="Q321" t="n">
        <v>1</v>
      </c>
      <c r="R321" s="2" t="inlineStr">
        <is>
          <t>Motaggsvamp</t>
        </is>
      </c>
      <c r="S321">
        <f>HYPERLINK("https://klasma.github.io/Logging_1882/artfynd/A 30189-2022 artfynd.xlsx", "A 30189-2022")</f>
        <v/>
      </c>
      <c r="T321">
        <f>HYPERLINK("https://klasma.github.io/Logging_1882/kartor/A 30189-2022 karta.png", "A 30189-2022")</f>
        <v/>
      </c>
      <c r="V321">
        <f>HYPERLINK("https://klasma.github.io/Logging_1882/klagomål/A 30189-2022 FSC-klagomål.docx", "A 30189-2022")</f>
        <v/>
      </c>
      <c r="W321">
        <f>HYPERLINK("https://klasma.github.io/Logging_1882/klagomålsmail/A 30189-2022 FSC-klagomål mail.docx", "A 30189-2022")</f>
        <v/>
      </c>
      <c r="X321">
        <f>HYPERLINK("https://klasma.github.io/Logging_1882/tillsyn/A 30189-2022 tillsynsbegäran.docx", "A 30189-2022")</f>
        <v/>
      </c>
      <c r="Y321">
        <f>HYPERLINK("https://klasma.github.io/Logging_1882/tillsynsmail/A 30189-2022 tillsynsbegäran mail.docx", "A 30189-2022")</f>
        <v/>
      </c>
    </row>
    <row r="322" ht="15" customHeight="1">
      <c r="A322" t="inlineStr">
        <is>
          <t>A 48956-2025</t>
        </is>
      </c>
      <c r="B322" s="1" t="n">
        <v>45937.54982638889</v>
      </c>
      <c r="C322" s="1" t="n">
        <v>45952</v>
      </c>
      <c r="D322" t="inlineStr">
        <is>
          <t>ÖREBRO LÄN</t>
        </is>
      </c>
      <c r="E322" t="inlineStr">
        <is>
          <t>LINDESBERG</t>
        </is>
      </c>
      <c r="F322" t="inlineStr">
        <is>
          <t>Sveaskog</t>
        </is>
      </c>
      <c r="G322" t="n">
        <v>2.7</v>
      </c>
      <c r="H322" t="n">
        <v>1</v>
      </c>
      <c r="I322" t="n">
        <v>0</v>
      </c>
      <c r="J322" t="n">
        <v>0</v>
      </c>
      <c r="K322" t="n">
        <v>0</v>
      </c>
      <c r="L322" t="n">
        <v>0</v>
      </c>
      <c r="M322" t="n">
        <v>0</v>
      </c>
      <c r="N322" t="n">
        <v>0</v>
      </c>
      <c r="O322" t="n">
        <v>0</v>
      </c>
      <c r="P322" t="n">
        <v>0</v>
      </c>
      <c r="Q322" t="n">
        <v>1</v>
      </c>
      <c r="R322" s="2" t="inlineStr">
        <is>
          <t>Mattlummer</t>
        </is>
      </c>
      <c r="S322">
        <f>HYPERLINK("https://klasma.github.io/Logging_1885/artfynd/A 48956-2025 artfynd.xlsx", "A 48956-2025")</f>
        <v/>
      </c>
      <c r="T322">
        <f>HYPERLINK("https://klasma.github.io/Logging_1885/kartor/A 48956-2025 karta.png", "A 48956-2025")</f>
        <v/>
      </c>
      <c r="V322">
        <f>HYPERLINK("https://klasma.github.io/Logging_1885/klagomål/A 48956-2025 FSC-klagomål.docx", "A 48956-2025")</f>
        <v/>
      </c>
      <c r="W322">
        <f>HYPERLINK("https://klasma.github.io/Logging_1885/klagomålsmail/A 48956-2025 FSC-klagomål mail.docx", "A 48956-2025")</f>
        <v/>
      </c>
      <c r="X322">
        <f>HYPERLINK("https://klasma.github.io/Logging_1885/tillsyn/A 48956-2025 tillsynsbegäran.docx", "A 48956-2025")</f>
        <v/>
      </c>
      <c r="Y322">
        <f>HYPERLINK("https://klasma.github.io/Logging_1885/tillsynsmail/A 48956-2025 tillsynsbegäran mail.docx", "A 48956-2025")</f>
        <v/>
      </c>
    </row>
    <row r="323" ht="15" customHeight="1">
      <c r="A323" t="inlineStr">
        <is>
          <t>A 168-2021</t>
        </is>
      </c>
      <c r="B323" s="1" t="n">
        <v>44200</v>
      </c>
      <c r="C323" s="1" t="n">
        <v>45952</v>
      </c>
      <c r="D323" t="inlineStr">
        <is>
          <t>ÖREBRO LÄN</t>
        </is>
      </c>
      <c r="E323" t="inlineStr">
        <is>
          <t>ASKERSUND</t>
        </is>
      </c>
      <c r="G323" t="n">
        <v>4.7</v>
      </c>
      <c r="H323" t="n">
        <v>1</v>
      </c>
      <c r="I323" t="n">
        <v>0</v>
      </c>
      <c r="J323" t="n">
        <v>0</v>
      </c>
      <c r="K323" t="n">
        <v>1</v>
      </c>
      <c r="L323" t="n">
        <v>0</v>
      </c>
      <c r="M323" t="n">
        <v>0</v>
      </c>
      <c r="N323" t="n">
        <v>0</v>
      </c>
      <c r="O323" t="n">
        <v>1</v>
      </c>
      <c r="P323" t="n">
        <v>1</v>
      </c>
      <c r="Q323" t="n">
        <v>1</v>
      </c>
      <c r="R323" s="2" t="inlineStr">
        <is>
          <t>Knärot</t>
        </is>
      </c>
      <c r="S323">
        <f>HYPERLINK("https://klasma.github.io/Logging_1882/artfynd/A 168-2021 artfynd.xlsx", "A 168-2021")</f>
        <v/>
      </c>
      <c r="T323">
        <f>HYPERLINK("https://klasma.github.io/Logging_1882/kartor/A 168-2021 karta.png", "A 168-2021")</f>
        <v/>
      </c>
      <c r="U323">
        <f>HYPERLINK("https://klasma.github.io/Logging_1882/knärot/A 168-2021 karta knärot.png", "A 168-2021")</f>
        <v/>
      </c>
      <c r="V323">
        <f>HYPERLINK("https://klasma.github.io/Logging_1882/klagomål/A 168-2021 FSC-klagomål.docx", "A 168-2021")</f>
        <v/>
      </c>
      <c r="W323">
        <f>HYPERLINK("https://klasma.github.io/Logging_1882/klagomålsmail/A 168-2021 FSC-klagomål mail.docx", "A 168-2021")</f>
        <v/>
      </c>
      <c r="X323">
        <f>HYPERLINK("https://klasma.github.io/Logging_1882/tillsyn/A 168-2021 tillsynsbegäran.docx", "A 168-2021")</f>
        <v/>
      </c>
      <c r="Y323">
        <f>HYPERLINK("https://klasma.github.io/Logging_1882/tillsynsmail/A 168-2021 tillsynsbegäran mail.docx", "A 168-2021")</f>
        <v/>
      </c>
    </row>
    <row r="324" ht="15" customHeight="1">
      <c r="A324" t="inlineStr">
        <is>
          <t>A 40065-2025</t>
        </is>
      </c>
      <c r="B324" s="1" t="n">
        <v>45894.43561342593</v>
      </c>
      <c r="C324" s="1" t="n">
        <v>45952</v>
      </c>
      <c r="D324" t="inlineStr">
        <is>
          <t>ÖREBRO LÄN</t>
        </is>
      </c>
      <c r="E324" t="inlineStr">
        <is>
          <t>HALLSBERG</t>
        </is>
      </c>
      <c r="F324" t="inlineStr">
        <is>
          <t>Sveaskog</t>
        </is>
      </c>
      <c r="G324" t="n">
        <v>3.8</v>
      </c>
      <c r="H324" t="n">
        <v>1</v>
      </c>
      <c r="I324" t="n">
        <v>0</v>
      </c>
      <c r="J324" t="n">
        <v>0</v>
      </c>
      <c r="K324" t="n">
        <v>1</v>
      </c>
      <c r="L324" t="n">
        <v>0</v>
      </c>
      <c r="M324" t="n">
        <v>0</v>
      </c>
      <c r="N324" t="n">
        <v>0</v>
      </c>
      <c r="O324" t="n">
        <v>1</v>
      </c>
      <c r="P324" t="n">
        <v>1</v>
      </c>
      <c r="Q324" t="n">
        <v>1</v>
      </c>
      <c r="R324" s="2" t="inlineStr">
        <is>
          <t>Stor låsbräken</t>
        </is>
      </c>
      <c r="S324">
        <f>HYPERLINK("https://klasma.github.io/Logging_1861/artfynd/A 40065-2025 artfynd.xlsx", "A 40065-2025")</f>
        <v/>
      </c>
      <c r="T324">
        <f>HYPERLINK("https://klasma.github.io/Logging_1861/kartor/A 40065-2025 karta.png", "A 40065-2025")</f>
        <v/>
      </c>
      <c r="V324">
        <f>HYPERLINK("https://klasma.github.io/Logging_1861/klagomål/A 40065-2025 FSC-klagomål.docx", "A 40065-2025")</f>
        <v/>
      </c>
      <c r="W324">
        <f>HYPERLINK("https://klasma.github.io/Logging_1861/klagomålsmail/A 40065-2025 FSC-klagomål mail.docx", "A 40065-2025")</f>
        <v/>
      </c>
      <c r="X324">
        <f>HYPERLINK("https://klasma.github.io/Logging_1861/tillsyn/A 40065-2025 tillsynsbegäran.docx", "A 40065-2025")</f>
        <v/>
      </c>
      <c r="Y324">
        <f>HYPERLINK("https://klasma.github.io/Logging_1861/tillsynsmail/A 40065-2025 tillsynsbegäran mail.docx", "A 40065-2025")</f>
        <v/>
      </c>
    </row>
    <row r="325" ht="15" customHeight="1">
      <c r="A325" t="inlineStr">
        <is>
          <t>A 7069-2024</t>
        </is>
      </c>
      <c r="B325" s="1" t="n">
        <v>45343.68663194445</v>
      </c>
      <c r="C325" s="1" t="n">
        <v>45952</v>
      </c>
      <c r="D325" t="inlineStr">
        <is>
          <t>ÖREBRO LÄN</t>
        </is>
      </c>
      <c r="E325" t="inlineStr">
        <is>
          <t>ASKERSUND</t>
        </is>
      </c>
      <c r="G325" t="n">
        <v>1.9</v>
      </c>
      <c r="H325" t="n">
        <v>1</v>
      </c>
      <c r="I325" t="n">
        <v>0</v>
      </c>
      <c r="J325" t="n">
        <v>0</v>
      </c>
      <c r="K325" t="n">
        <v>0</v>
      </c>
      <c r="L325" t="n">
        <v>0</v>
      </c>
      <c r="M325" t="n">
        <v>0</v>
      </c>
      <c r="N325" t="n">
        <v>0</v>
      </c>
      <c r="O325" t="n">
        <v>0</v>
      </c>
      <c r="P325" t="n">
        <v>0</v>
      </c>
      <c r="Q325" t="n">
        <v>1</v>
      </c>
      <c r="R325" s="2" t="inlineStr">
        <is>
          <t>Nattviol</t>
        </is>
      </c>
      <c r="S325">
        <f>HYPERLINK("https://klasma.github.io/Logging_1882/artfynd/A 7069-2024 artfynd.xlsx", "A 7069-2024")</f>
        <v/>
      </c>
      <c r="T325">
        <f>HYPERLINK("https://klasma.github.io/Logging_1882/kartor/A 7069-2024 karta.png", "A 7069-2024")</f>
        <v/>
      </c>
      <c r="V325">
        <f>HYPERLINK("https://klasma.github.io/Logging_1882/klagomål/A 7069-2024 FSC-klagomål.docx", "A 7069-2024")</f>
        <v/>
      </c>
      <c r="W325">
        <f>HYPERLINK("https://klasma.github.io/Logging_1882/klagomålsmail/A 7069-2024 FSC-klagomål mail.docx", "A 7069-2024")</f>
        <v/>
      </c>
      <c r="X325">
        <f>HYPERLINK("https://klasma.github.io/Logging_1882/tillsyn/A 7069-2024 tillsynsbegäran.docx", "A 7069-2024")</f>
        <v/>
      </c>
      <c r="Y325">
        <f>HYPERLINK("https://klasma.github.io/Logging_1882/tillsynsmail/A 7069-2024 tillsynsbegäran mail.docx", "A 7069-2024")</f>
        <v/>
      </c>
    </row>
    <row r="326" ht="15" customHeight="1">
      <c r="A326" t="inlineStr">
        <is>
          <t>A 40071-2025</t>
        </is>
      </c>
      <c r="B326" s="1" t="n">
        <v>45894.44199074074</v>
      </c>
      <c r="C326" s="1" t="n">
        <v>45952</v>
      </c>
      <c r="D326" t="inlineStr">
        <is>
          <t>ÖREBRO LÄN</t>
        </is>
      </c>
      <c r="E326" t="inlineStr">
        <is>
          <t>HALLSBERG</t>
        </is>
      </c>
      <c r="F326" t="inlineStr">
        <is>
          <t>Sveaskog</t>
        </is>
      </c>
      <c r="G326" t="n">
        <v>2.1</v>
      </c>
      <c r="H326" t="n">
        <v>0</v>
      </c>
      <c r="I326" t="n">
        <v>0</v>
      </c>
      <c r="J326" t="n">
        <v>1</v>
      </c>
      <c r="K326" t="n">
        <v>0</v>
      </c>
      <c r="L326" t="n">
        <v>0</v>
      </c>
      <c r="M326" t="n">
        <v>0</v>
      </c>
      <c r="N326" t="n">
        <v>0</v>
      </c>
      <c r="O326" t="n">
        <v>1</v>
      </c>
      <c r="P326" t="n">
        <v>0</v>
      </c>
      <c r="Q326" t="n">
        <v>1</v>
      </c>
      <c r="R326" s="2" t="inlineStr">
        <is>
          <t>Grantaggsvamp</t>
        </is>
      </c>
      <c r="S326">
        <f>HYPERLINK("https://klasma.github.io/Logging_1861/artfynd/A 40071-2025 artfynd.xlsx", "A 40071-2025")</f>
        <v/>
      </c>
      <c r="T326">
        <f>HYPERLINK("https://klasma.github.io/Logging_1861/kartor/A 40071-2025 karta.png", "A 40071-2025")</f>
        <v/>
      </c>
      <c r="V326">
        <f>HYPERLINK("https://klasma.github.io/Logging_1861/klagomål/A 40071-2025 FSC-klagomål.docx", "A 40071-2025")</f>
        <v/>
      </c>
      <c r="W326">
        <f>HYPERLINK("https://klasma.github.io/Logging_1861/klagomålsmail/A 40071-2025 FSC-klagomål mail.docx", "A 40071-2025")</f>
        <v/>
      </c>
      <c r="X326">
        <f>HYPERLINK("https://klasma.github.io/Logging_1861/tillsyn/A 40071-2025 tillsynsbegäran.docx", "A 40071-2025")</f>
        <v/>
      </c>
      <c r="Y326">
        <f>HYPERLINK("https://klasma.github.io/Logging_1861/tillsynsmail/A 40071-2025 tillsynsbegäran mail.docx", "A 40071-2025")</f>
        <v/>
      </c>
    </row>
    <row r="327" ht="15" customHeight="1">
      <c r="A327" t="inlineStr">
        <is>
          <t>A 41241-2024</t>
        </is>
      </c>
      <c r="B327" s="1" t="n">
        <v>45559</v>
      </c>
      <c r="C327" s="1" t="n">
        <v>45952</v>
      </c>
      <c r="D327" t="inlineStr">
        <is>
          <t>ÖREBRO LÄN</t>
        </is>
      </c>
      <c r="E327" t="inlineStr">
        <is>
          <t>LEKEBERG</t>
        </is>
      </c>
      <c r="G327" t="n">
        <v>3</v>
      </c>
      <c r="H327" t="n">
        <v>0</v>
      </c>
      <c r="I327" t="n">
        <v>0</v>
      </c>
      <c r="J327" t="n">
        <v>1</v>
      </c>
      <c r="K327" t="n">
        <v>0</v>
      </c>
      <c r="L327" t="n">
        <v>0</v>
      </c>
      <c r="M327" t="n">
        <v>0</v>
      </c>
      <c r="N327" t="n">
        <v>0</v>
      </c>
      <c r="O327" t="n">
        <v>1</v>
      </c>
      <c r="P327" t="n">
        <v>0</v>
      </c>
      <c r="Q327" t="n">
        <v>1</v>
      </c>
      <c r="R327" s="2" t="inlineStr">
        <is>
          <t>Rökfingersvamp</t>
        </is>
      </c>
      <c r="S327">
        <f>HYPERLINK("https://klasma.github.io/Logging_1814/artfynd/A 41241-2024 artfynd.xlsx", "A 41241-2024")</f>
        <v/>
      </c>
      <c r="T327">
        <f>HYPERLINK("https://klasma.github.io/Logging_1814/kartor/A 41241-2024 karta.png", "A 41241-2024")</f>
        <v/>
      </c>
      <c r="V327">
        <f>HYPERLINK("https://klasma.github.io/Logging_1814/klagomål/A 41241-2024 FSC-klagomål.docx", "A 41241-2024")</f>
        <v/>
      </c>
      <c r="W327">
        <f>HYPERLINK("https://klasma.github.io/Logging_1814/klagomålsmail/A 41241-2024 FSC-klagomål mail.docx", "A 41241-2024")</f>
        <v/>
      </c>
      <c r="X327">
        <f>HYPERLINK("https://klasma.github.io/Logging_1814/tillsyn/A 41241-2024 tillsynsbegäran.docx", "A 41241-2024")</f>
        <v/>
      </c>
      <c r="Y327">
        <f>HYPERLINK("https://klasma.github.io/Logging_1814/tillsynsmail/A 41241-2024 tillsynsbegäran mail.docx", "A 41241-2024")</f>
        <v/>
      </c>
    </row>
    <row r="328" ht="15" customHeight="1">
      <c r="A328" t="inlineStr">
        <is>
          <t>A 62084-2024</t>
        </is>
      </c>
      <c r="B328" s="1" t="n">
        <v>45656.45586805556</v>
      </c>
      <c r="C328" s="1" t="n">
        <v>45952</v>
      </c>
      <c r="D328" t="inlineStr">
        <is>
          <t>ÖREBRO LÄN</t>
        </is>
      </c>
      <c r="E328" t="inlineStr">
        <is>
          <t>ASKERSUND</t>
        </is>
      </c>
      <c r="G328" t="n">
        <v>0.8</v>
      </c>
      <c r="H328" t="n">
        <v>0</v>
      </c>
      <c r="I328" t="n">
        <v>1</v>
      </c>
      <c r="J328" t="n">
        <v>0</v>
      </c>
      <c r="K328" t="n">
        <v>0</v>
      </c>
      <c r="L328" t="n">
        <v>0</v>
      </c>
      <c r="M328" t="n">
        <v>0</v>
      </c>
      <c r="N328" t="n">
        <v>0</v>
      </c>
      <c r="O328" t="n">
        <v>0</v>
      </c>
      <c r="P328" t="n">
        <v>0</v>
      </c>
      <c r="Q328" t="n">
        <v>1</v>
      </c>
      <c r="R328" s="2" t="inlineStr">
        <is>
          <t>Ängsvaxskivling</t>
        </is>
      </c>
      <c r="S328">
        <f>HYPERLINK("https://klasma.github.io/Logging_1882/artfynd/A 62084-2024 artfynd.xlsx", "A 62084-2024")</f>
        <v/>
      </c>
      <c r="T328">
        <f>HYPERLINK("https://klasma.github.io/Logging_1882/kartor/A 62084-2024 karta.png", "A 62084-2024")</f>
        <v/>
      </c>
      <c r="V328">
        <f>HYPERLINK("https://klasma.github.io/Logging_1882/klagomål/A 62084-2024 FSC-klagomål.docx", "A 62084-2024")</f>
        <v/>
      </c>
      <c r="W328">
        <f>HYPERLINK("https://klasma.github.io/Logging_1882/klagomålsmail/A 62084-2024 FSC-klagomål mail.docx", "A 62084-2024")</f>
        <v/>
      </c>
      <c r="X328">
        <f>HYPERLINK("https://klasma.github.io/Logging_1882/tillsyn/A 62084-2024 tillsynsbegäran.docx", "A 62084-2024")</f>
        <v/>
      </c>
      <c r="Y328">
        <f>HYPERLINK("https://klasma.github.io/Logging_1882/tillsynsmail/A 62084-2024 tillsynsbegäran mail.docx", "A 62084-2024")</f>
        <v/>
      </c>
    </row>
    <row r="329" ht="15" customHeight="1">
      <c r="A329" t="inlineStr">
        <is>
          <t>A 48879-2022</t>
        </is>
      </c>
      <c r="B329" s="1" t="n">
        <v>44859</v>
      </c>
      <c r="C329" s="1" t="n">
        <v>45952</v>
      </c>
      <c r="D329" t="inlineStr">
        <is>
          <t>ÖREBRO LÄN</t>
        </is>
      </c>
      <c r="E329" t="inlineStr">
        <is>
          <t>ASKERSUND</t>
        </is>
      </c>
      <c r="G329" t="n">
        <v>8.199999999999999</v>
      </c>
      <c r="H329" t="n">
        <v>0</v>
      </c>
      <c r="I329" t="n">
        <v>0</v>
      </c>
      <c r="J329" t="n">
        <v>1</v>
      </c>
      <c r="K329" t="n">
        <v>0</v>
      </c>
      <c r="L329" t="n">
        <v>0</v>
      </c>
      <c r="M329" t="n">
        <v>0</v>
      </c>
      <c r="N329" t="n">
        <v>0</v>
      </c>
      <c r="O329" t="n">
        <v>1</v>
      </c>
      <c r="P329" t="n">
        <v>0</v>
      </c>
      <c r="Q329" t="n">
        <v>1</v>
      </c>
      <c r="R329" s="2" t="inlineStr">
        <is>
          <t>Rutspindling</t>
        </is>
      </c>
      <c r="S329">
        <f>HYPERLINK("https://klasma.github.io/Logging_1882/artfynd/A 48879-2022 artfynd.xlsx", "A 48879-2022")</f>
        <v/>
      </c>
      <c r="T329">
        <f>HYPERLINK("https://klasma.github.io/Logging_1882/kartor/A 48879-2022 karta.png", "A 48879-2022")</f>
        <v/>
      </c>
      <c r="V329">
        <f>HYPERLINK("https://klasma.github.io/Logging_1882/klagomål/A 48879-2022 FSC-klagomål.docx", "A 48879-2022")</f>
        <v/>
      </c>
      <c r="W329">
        <f>HYPERLINK("https://klasma.github.io/Logging_1882/klagomålsmail/A 48879-2022 FSC-klagomål mail.docx", "A 48879-2022")</f>
        <v/>
      </c>
      <c r="X329">
        <f>HYPERLINK("https://klasma.github.io/Logging_1882/tillsyn/A 48879-2022 tillsynsbegäran.docx", "A 48879-2022")</f>
        <v/>
      </c>
      <c r="Y329">
        <f>HYPERLINK("https://klasma.github.io/Logging_1882/tillsynsmail/A 48879-2022 tillsynsbegäran mail.docx", "A 48879-2022")</f>
        <v/>
      </c>
    </row>
    <row r="330" ht="15" customHeight="1">
      <c r="A330" t="inlineStr">
        <is>
          <t>A 16923-2025</t>
        </is>
      </c>
      <c r="B330" s="1" t="n">
        <v>45755.38237268518</v>
      </c>
      <c r="C330" s="1" t="n">
        <v>45952</v>
      </c>
      <c r="D330" t="inlineStr">
        <is>
          <t>ÖREBRO LÄN</t>
        </is>
      </c>
      <c r="E330" t="inlineStr">
        <is>
          <t>HÄLLEFORS</t>
        </is>
      </c>
      <c r="F330" t="inlineStr">
        <is>
          <t>Bergvik skog väst AB</t>
        </is>
      </c>
      <c r="G330" t="n">
        <v>3.5</v>
      </c>
      <c r="H330" t="n">
        <v>1</v>
      </c>
      <c r="I330" t="n">
        <v>0</v>
      </c>
      <c r="J330" t="n">
        <v>1</v>
      </c>
      <c r="K330" t="n">
        <v>0</v>
      </c>
      <c r="L330" t="n">
        <v>0</v>
      </c>
      <c r="M330" t="n">
        <v>0</v>
      </c>
      <c r="N330" t="n">
        <v>0</v>
      </c>
      <c r="O330" t="n">
        <v>1</v>
      </c>
      <c r="P330" t="n">
        <v>0</v>
      </c>
      <c r="Q330" t="n">
        <v>1</v>
      </c>
      <c r="R330" s="2" t="inlineStr">
        <is>
          <t>Strandlummer</t>
        </is>
      </c>
      <c r="S330">
        <f>HYPERLINK("https://klasma.github.io/Logging_1863/artfynd/A 16923-2025 artfynd.xlsx", "A 16923-2025")</f>
        <v/>
      </c>
      <c r="T330">
        <f>HYPERLINK("https://klasma.github.io/Logging_1863/kartor/A 16923-2025 karta.png", "A 16923-2025")</f>
        <v/>
      </c>
      <c r="V330">
        <f>HYPERLINK("https://klasma.github.io/Logging_1863/klagomål/A 16923-2025 FSC-klagomål.docx", "A 16923-2025")</f>
        <v/>
      </c>
      <c r="W330">
        <f>HYPERLINK("https://klasma.github.io/Logging_1863/klagomålsmail/A 16923-2025 FSC-klagomål mail.docx", "A 16923-2025")</f>
        <v/>
      </c>
      <c r="X330">
        <f>HYPERLINK("https://klasma.github.io/Logging_1863/tillsyn/A 16923-2025 tillsynsbegäran.docx", "A 16923-2025")</f>
        <v/>
      </c>
      <c r="Y330">
        <f>HYPERLINK("https://klasma.github.io/Logging_1863/tillsynsmail/A 16923-2025 tillsynsbegäran mail.docx", "A 16923-2025")</f>
        <v/>
      </c>
    </row>
    <row r="331" ht="15" customHeight="1">
      <c r="A331" t="inlineStr">
        <is>
          <t>A 49306-2025</t>
        </is>
      </c>
      <c r="B331" s="1" t="n">
        <v>45938</v>
      </c>
      <c r="C331" s="1" t="n">
        <v>45952</v>
      </c>
      <c r="D331" t="inlineStr">
        <is>
          <t>ÖREBRO LÄN</t>
        </is>
      </c>
      <c r="E331" t="inlineStr">
        <is>
          <t>DEGERFORS</t>
        </is>
      </c>
      <c r="G331" t="n">
        <v>5.8</v>
      </c>
      <c r="H331" t="n">
        <v>0</v>
      </c>
      <c r="I331" t="n">
        <v>1</v>
      </c>
      <c r="J331" t="n">
        <v>0</v>
      </c>
      <c r="K331" t="n">
        <v>0</v>
      </c>
      <c r="L331" t="n">
        <v>0</v>
      </c>
      <c r="M331" t="n">
        <v>0</v>
      </c>
      <c r="N331" t="n">
        <v>0</v>
      </c>
      <c r="O331" t="n">
        <v>0</v>
      </c>
      <c r="P331" t="n">
        <v>0</v>
      </c>
      <c r="Q331" t="n">
        <v>1</v>
      </c>
      <c r="R331" s="2" t="inlineStr">
        <is>
          <t>Svart trolldruva</t>
        </is>
      </c>
      <c r="S331">
        <f>HYPERLINK("https://klasma.github.io/Logging_1862/artfynd/A 49306-2025 artfynd.xlsx", "A 49306-2025")</f>
        <v/>
      </c>
      <c r="T331">
        <f>HYPERLINK("https://klasma.github.io/Logging_1862/kartor/A 49306-2025 karta.png", "A 49306-2025")</f>
        <v/>
      </c>
      <c r="V331">
        <f>HYPERLINK("https://klasma.github.io/Logging_1862/klagomål/A 49306-2025 FSC-klagomål.docx", "A 49306-2025")</f>
        <v/>
      </c>
      <c r="W331">
        <f>HYPERLINK("https://klasma.github.io/Logging_1862/klagomålsmail/A 49306-2025 FSC-klagomål mail.docx", "A 49306-2025")</f>
        <v/>
      </c>
      <c r="X331">
        <f>HYPERLINK("https://klasma.github.io/Logging_1862/tillsyn/A 49306-2025 tillsynsbegäran.docx", "A 49306-2025")</f>
        <v/>
      </c>
      <c r="Y331">
        <f>HYPERLINK("https://klasma.github.io/Logging_1862/tillsynsmail/A 49306-2025 tillsynsbegäran mail.docx", "A 49306-2025")</f>
        <v/>
      </c>
    </row>
    <row r="332" ht="15" customHeight="1">
      <c r="A332" t="inlineStr">
        <is>
          <t>A 16677-2023</t>
        </is>
      </c>
      <c r="B332" s="1" t="n">
        <v>45030</v>
      </c>
      <c r="C332" s="1" t="n">
        <v>45952</v>
      </c>
      <c r="D332" t="inlineStr">
        <is>
          <t>ÖREBRO LÄN</t>
        </is>
      </c>
      <c r="E332" t="inlineStr">
        <is>
          <t>ASKERSUND</t>
        </is>
      </c>
      <c r="G332" t="n">
        <v>0.9</v>
      </c>
      <c r="H332" t="n">
        <v>0</v>
      </c>
      <c r="I332" t="n">
        <v>1</v>
      </c>
      <c r="J332" t="n">
        <v>0</v>
      </c>
      <c r="K332" t="n">
        <v>0</v>
      </c>
      <c r="L332" t="n">
        <v>0</v>
      </c>
      <c r="M332" t="n">
        <v>0</v>
      </c>
      <c r="N332" t="n">
        <v>0</v>
      </c>
      <c r="O332" t="n">
        <v>0</v>
      </c>
      <c r="P332" t="n">
        <v>0</v>
      </c>
      <c r="Q332" t="n">
        <v>1</v>
      </c>
      <c r="R332" s="2" t="inlineStr">
        <is>
          <t>Svart trolldruva</t>
        </is>
      </c>
      <c r="S332">
        <f>HYPERLINK("https://klasma.github.io/Logging_1882/artfynd/A 16677-2023 artfynd.xlsx", "A 16677-2023")</f>
        <v/>
      </c>
      <c r="T332">
        <f>HYPERLINK("https://klasma.github.io/Logging_1882/kartor/A 16677-2023 karta.png", "A 16677-2023")</f>
        <v/>
      </c>
      <c r="V332">
        <f>HYPERLINK("https://klasma.github.io/Logging_1882/klagomål/A 16677-2023 FSC-klagomål.docx", "A 16677-2023")</f>
        <v/>
      </c>
      <c r="W332">
        <f>HYPERLINK("https://klasma.github.io/Logging_1882/klagomålsmail/A 16677-2023 FSC-klagomål mail.docx", "A 16677-2023")</f>
        <v/>
      </c>
      <c r="X332">
        <f>HYPERLINK("https://klasma.github.io/Logging_1882/tillsyn/A 16677-2023 tillsynsbegäran.docx", "A 16677-2023")</f>
        <v/>
      </c>
      <c r="Y332">
        <f>HYPERLINK("https://klasma.github.io/Logging_1882/tillsynsmail/A 16677-2023 tillsynsbegäran mail.docx", "A 16677-2023")</f>
        <v/>
      </c>
    </row>
    <row r="333" ht="15" customHeight="1">
      <c r="A333" t="inlineStr">
        <is>
          <t>A 28569-2024</t>
        </is>
      </c>
      <c r="B333" s="1" t="n">
        <v>45478.39592592593</v>
      </c>
      <c r="C333" s="1" t="n">
        <v>45952</v>
      </c>
      <c r="D333" t="inlineStr">
        <is>
          <t>ÖREBRO LÄN</t>
        </is>
      </c>
      <c r="E333" t="inlineStr">
        <is>
          <t>LINDESBERG</t>
        </is>
      </c>
      <c r="F333" t="inlineStr">
        <is>
          <t>Sveaskog</t>
        </is>
      </c>
      <c r="G333" t="n">
        <v>2.6</v>
      </c>
      <c r="H333" t="n">
        <v>0</v>
      </c>
      <c r="I333" t="n">
        <v>0</v>
      </c>
      <c r="J333" t="n">
        <v>1</v>
      </c>
      <c r="K333" t="n">
        <v>0</v>
      </c>
      <c r="L333" t="n">
        <v>0</v>
      </c>
      <c r="M333" t="n">
        <v>0</v>
      </c>
      <c r="N333" t="n">
        <v>0</v>
      </c>
      <c r="O333" t="n">
        <v>1</v>
      </c>
      <c r="P333" t="n">
        <v>0</v>
      </c>
      <c r="Q333" t="n">
        <v>1</v>
      </c>
      <c r="R333" s="2" t="inlineStr">
        <is>
          <t>Granticka</t>
        </is>
      </c>
      <c r="S333">
        <f>HYPERLINK("https://klasma.github.io/Logging_1885/artfynd/A 28569-2024 artfynd.xlsx", "A 28569-2024")</f>
        <v/>
      </c>
      <c r="T333">
        <f>HYPERLINK("https://klasma.github.io/Logging_1885/kartor/A 28569-2024 karta.png", "A 28569-2024")</f>
        <v/>
      </c>
      <c r="V333">
        <f>HYPERLINK("https://klasma.github.io/Logging_1885/klagomål/A 28569-2024 FSC-klagomål.docx", "A 28569-2024")</f>
        <v/>
      </c>
      <c r="W333">
        <f>HYPERLINK("https://klasma.github.io/Logging_1885/klagomålsmail/A 28569-2024 FSC-klagomål mail.docx", "A 28569-2024")</f>
        <v/>
      </c>
      <c r="X333">
        <f>HYPERLINK("https://klasma.github.io/Logging_1885/tillsyn/A 28569-2024 tillsynsbegäran.docx", "A 28569-2024")</f>
        <v/>
      </c>
      <c r="Y333">
        <f>HYPERLINK("https://klasma.github.io/Logging_1885/tillsynsmail/A 28569-2024 tillsynsbegäran mail.docx", "A 28569-2024")</f>
        <v/>
      </c>
    </row>
    <row r="334" ht="15" customHeight="1">
      <c r="A334" t="inlineStr">
        <is>
          <t>A 15621-2021</t>
        </is>
      </c>
      <c r="B334" s="1" t="n">
        <v>44285</v>
      </c>
      <c r="C334" s="1" t="n">
        <v>45952</v>
      </c>
      <c r="D334" t="inlineStr">
        <is>
          <t>ÖREBRO LÄN</t>
        </is>
      </c>
      <c r="E334" t="inlineStr">
        <is>
          <t>ÖREBRO</t>
        </is>
      </c>
      <c r="G334" t="n">
        <v>2.8</v>
      </c>
      <c r="H334" t="n">
        <v>1</v>
      </c>
      <c r="I334" t="n">
        <v>0</v>
      </c>
      <c r="J334" t="n">
        <v>0</v>
      </c>
      <c r="K334" t="n">
        <v>0</v>
      </c>
      <c r="L334" t="n">
        <v>0</v>
      </c>
      <c r="M334" t="n">
        <v>0</v>
      </c>
      <c r="N334" t="n">
        <v>0</v>
      </c>
      <c r="O334" t="n">
        <v>0</v>
      </c>
      <c r="P334" t="n">
        <v>0</v>
      </c>
      <c r="Q334" t="n">
        <v>1</v>
      </c>
      <c r="R334" s="2" t="inlineStr">
        <is>
          <t>Fläcknycklar</t>
        </is>
      </c>
      <c r="S334">
        <f>HYPERLINK("https://klasma.github.io/Logging_1880/artfynd/A 15621-2021 artfynd.xlsx", "A 15621-2021")</f>
        <v/>
      </c>
      <c r="T334">
        <f>HYPERLINK("https://klasma.github.io/Logging_1880/kartor/A 15621-2021 karta.png", "A 15621-2021")</f>
        <v/>
      </c>
      <c r="V334">
        <f>HYPERLINK("https://klasma.github.io/Logging_1880/klagomål/A 15621-2021 FSC-klagomål.docx", "A 15621-2021")</f>
        <v/>
      </c>
      <c r="W334">
        <f>HYPERLINK("https://klasma.github.io/Logging_1880/klagomålsmail/A 15621-2021 FSC-klagomål mail.docx", "A 15621-2021")</f>
        <v/>
      </c>
      <c r="X334">
        <f>HYPERLINK("https://klasma.github.io/Logging_1880/tillsyn/A 15621-2021 tillsynsbegäran.docx", "A 15621-2021")</f>
        <v/>
      </c>
      <c r="Y334">
        <f>HYPERLINK("https://klasma.github.io/Logging_1880/tillsynsmail/A 15621-2021 tillsynsbegäran mail.docx", "A 15621-2021")</f>
        <v/>
      </c>
    </row>
    <row r="335" ht="15" customHeight="1">
      <c r="A335" t="inlineStr">
        <is>
          <t>A 64513-2023</t>
        </is>
      </c>
      <c r="B335" s="1" t="n">
        <v>45281</v>
      </c>
      <c r="C335" s="1" t="n">
        <v>45952</v>
      </c>
      <c r="D335" t="inlineStr">
        <is>
          <t>ÖREBRO LÄN</t>
        </is>
      </c>
      <c r="E335" t="inlineStr">
        <is>
          <t>LINDESBERG</t>
        </is>
      </c>
      <c r="G335" t="n">
        <v>4.7</v>
      </c>
      <c r="H335" t="n">
        <v>0</v>
      </c>
      <c r="I335" t="n">
        <v>1</v>
      </c>
      <c r="J335" t="n">
        <v>0</v>
      </c>
      <c r="K335" t="n">
        <v>0</v>
      </c>
      <c r="L335" t="n">
        <v>0</v>
      </c>
      <c r="M335" t="n">
        <v>0</v>
      </c>
      <c r="N335" t="n">
        <v>0</v>
      </c>
      <c r="O335" t="n">
        <v>0</v>
      </c>
      <c r="P335" t="n">
        <v>0</v>
      </c>
      <c r="Q335" t="n">
        <v>1</v>
      </c>
      <c r="R335" s="2" t="inlineStr">
        <is>
          <t>Västlig hakmossa</t>
        </is>
      </c>
      <c r="S335">
        <f>HYPERLINK("https://klasma.github.io/Logging_1885/artfynd/A 64513-2023 artfynd.xlsx", "A 64513-2023")</f>
        <v/>
      </c>
      <c r="T335">
        <f>HYPERLINK("https://klasma.github.io/Logging_1885/kartor/A 64513-2023 karta.png", "A 64513-2023")</f>
        <v/>
      </c>
      <c r="V335">
        <f>HYPERLINK("https://klasma.github.io/Logging_1885/klagomål/A 64513-2023 FSC-klagomål.docx", "A 64513-2023")</f>
        <v/>
      </c>
      <c r="W335">
        <f>HYPERLINK("https://klasma.github.io/Logging_1885/klagomålsmail/A 64513-2023 FSC-klagomål mail.docx", "A 64513-2023")</f>
        <v/>
      </c>
      <c r="X335">
        <f>HYPERLINK("https://klasma.github.io/Logging_1885/tillsyn/A 64513-2023 tillsynsbegäran.docx", "A 64513-2023")</f>
        <v/>
      </c>
      <c r="Y335">
        <f>HYPERLINK("https://klasma.github.io/Logging_1885/tillsynsmail/A 64513-2023 tillsynsbegäran mail.docx", "A 64513-2023")</f>
        <v/>
      </c>
    </row>
    <row r="336" ht="15" customHeight="1">
      <c r="A336" t="inlineStr">
        <is>
          <t>A 56179-2024</t>
        </is>
      </c>
      <c r="B336" s="1" t="n">
        <v>45623</v>
      </c>
      <c r="C336" s="1" t="n">
        <v>45952</v>
      </c>
      <c r="D336" t="inlineStr">
        <is>
          <t>ÖREBRO LÄN</t>
        </is>
      </c>
      <c r="E336" t="inlineStr">
        <is>
          <t>LJUSNARSBERG</t>
        </is>
      </c>
      <c r="G336" t="n">
        <v>0.9</v>
      </c>
      <c r="H336" t="n">
        <v>0</v>
      </c>
      <c r="I336" t="n">
        <v>1</v>
      </c>
      <c r="J336" t="n">
        <v>0</v>
      </c>
      <c r="K336" t="n">
        <v>0</v>
      </c>
      <c r="L336" t="n">
        <v>0</v>
      </c>
      <c r="M336" t="n">
        <v>0</v>
      </c>
      <c r="N336" t="n">
        <v>0</v>
      </c>
      <c r="O336" t="n">
        <v>0</v>
      </c>
      <c r="P336" t="n">
        <v>0</v>
      </c>
      <c r="Q336" t="n">
        <v>1</v>
      </c>
      <c r="R336" s="2" t="inlineStr">
        <is>
          <t>Vedticka</t>
        </is>
      </c>
      <c r="S336">
        <f>HYPERLINK("https://klasma.github.io/Logging_1864/artfynd/A 56179-2024 artfynd.xlsx", "A 56179-2024")</f>
        <v/>
      </c>
      <c r="T336">
        <f>HYPERLINK("https://klasma.github.io/Logging_1864/kartor/A 56179-2024 karta.png", "A 56179-2024")</f>
        <v/>
      </c>
      <c r="V336">
        <f>HYPERLINK("https://klasma.github.io/Logging_1864/klagomål/A 56179-2024 FSC-klagomål.docx", "A 56179-2024")</f>
        <v/>
      </c>
      <c r="W336">
        <f>HYPERLINK("https://klasma.github.io/Logging_1864/klagomålsmail/A 56179-2024 FSC-klagomål mail.docx", "A 56179-2024")</f>
        <v/>
      </c>
      <c r="X336">
        <f>HYPERLINK("https://klasma.github.io/Logging_1864/tillsyn/A 56179-2024 tillsynsbegäran.docx", "A 56179-2024")</f>
        <v/>
      </c>
      <c r="Y336">
        <f>HYPERLINK("https://klasma.github.io/Logging_1864/tillsynsmail/A 56179-2024 tillsynsbegäran mail.docx", "A 56179-2024")</f>
        <v/>
      </c>
    </row>
    <row r="337" ht="15" customHeight="1">
      <c r="A337" t="inlineStr">
        <is>
          <t>A 61132-2024</t>
        </is>
      </c>
      <c r="B337" s="1" t="n">
        <v>45645</v>
      </c>
      <c r="C337" s="1" t="n">
        <v>45952</v>
      </c>
      <c r="D337" t="inlineStr">
        <is>
          <t>ÖREBRO LÄN</t>
        </is>
      </c>
      <c r="E337" t="inlineStr">
        <is>
          <t>LINDESBERG</t>
        </is>
      </c>
      <c r="F337" t="inlineStr">
        <is>
          <t>Sveaskog</t>
        </is>
      </c>
      <c r="G337" t="n">
        <v>2.5</v>
      </c>
      <c r="H337" t="n">
        <v>0</v>
      </c>
      <c r="I337" t="n">
        <v>1</v>
      </c>
      <c r="J337" t="n">
        <v>0</v>
      </c>
      <c r="K337" t="n">
        <v>0</v>
      </c>
      <c r="L337" t="n">
        <v>0</v>
      </c>
      <c r="M337" t="n">
        <v>0</v>
      </c>
      <c r="N337" t="n">
        <v>0</v>
      </c>
      <c r="O337" t="n">
        <v>0</v>
      </c>
      <c r="P337" t="n">
        <v>0</v>
      </c>
      <c r="Q337" t="n">
        <v>1</v>
      </c>
      <c r="R337" s="2" t="inlineStr">
        <is>
          <t>Bollvitmossa</t>
        </is>
      </c>
      <c r="S337">
        <f>HYPERLINK("https://klasma.github.io/Logging_1885/artfynd/A 61132-2024 artfynd.xlsx", "A 61132-2024")</f>
        <v/>
      </c>
      <c r="T337">
        <f>HYPERLINK("https://klasma.github.io/Logging_1885/kartor/A 61132-2024 karta.png", "A 61132-2024")</f>
        <v/>
      </c>
      <c r="V337">
        <f>HYPERLINK("https://klasma.github.io/Logging_1885/klagomål/A 61132-2024 FSC-klagomål.docx", "A 61132-2024")</f>
        <v/>
      </c>
      <c r="W337">
        <f>HYPERLINK("https://klasma.github.io/Logging_1885/klagomålsmail/A 61132-2024 FSC-klagomål mail.docx", "A 61132-2024")</f>
        <v/>
      </c>
      <c r="X337">
        <f>HYPERLINK("https://klasma.github.io/Logging_1885/tillsyn/A 61132-2024 tillsynsbegäran.docx", "A 61132-2024")</f>
        <v/>
      </c>
      <c r="Y337">
        <f>HYPERLINK("https://klasma.github.io/Logging_1885/tillsynsmail/A 61132-2024 tillsynsbegäran mail.docx", "A 61132-2024")</f>
        <v/>
      </c>
    </row>
    <row r="338" ht="15" customHeight="1">
      <c r="A338" t="inlineStr">
        <is>
          <t>A 15327-2024</t>
        </is>
      </c>
      <c r="B338" s="1" t="n">
        <v>45400.68243055556</v>
      </c>
      <c r="C338" s="1" t="n">
        <v>45952</v>
      </c>
      <c r="D338" t="inlineStr">
        <is>
          <t>ÖREBRO LÄN</t>
        </is>
      </c>
      <c r="E338" t="inlineStr">
        <is>
          <t>NORA</t>
        </is>
      </c>
      <c r="G338" t="n">
        <v>3.5</v>
      </c>
      <c r="H338" t="n">
        <v>0</v>
      </c>
      <c r="I338" t="n">
        <v>0</v>
      </c>
      <c r="J338" t="n">
        <v>1</v>
      </c>
      <c r="K338" t="n">
        <v>0</v>
      </c>
      <c r="L338" t="n">
        <v>0</v>
      </c>
      <c r="M338" t="n">
        <v>0</v>
      </c>
      <c r="N338" t="n">
        <v>0</v>
      </c>
      <c r="O338" t="n">
        <v>1</v>
      </c>
      <c r="P338" t="n">
        <v>0</v>
      </c>
      <c r="Q338" t="n">
        <v>1</v>
      </c>
      <c r="R338" s="2" t="inlineStr">
        <is>
          <t>Violettgrå tagellav</t>
        </is>
      </c>
      <c r="S338">
        <f>HYPERLINK("https://klasma.github.io/Logging_1884/artfynd/A 15327-2024 artfynd.xlsx", "A 15327-2024")</f>
        <v/>
      </c>
      <c r="T338">
        <f>HYPERLINK("https://klasma.github.io/Logging_1884/kartor/A 15327-2024 karta.png", "A 15327-2024")</f>
        <v/>
      </c>
      <c r="V338">
        <f>HYPERLINK("https://klasma.github.io/Logging_1884/klagomål/A 15327-2024 FSC-klagomål.docx", "A 15327-2024")</f>
        <v/>
      </c>
      <c r="W338">
        <f>HYPERLINK("https://klasma.github.io/Logging_1884/klagomålsmail/A 15327-2024 FSC-klagomål mail.docx", "A 15327-2024")</f>
        <v/>
      </c>
      <c r="X338">
        <f>HYPERLINK("https://klasma.github.io/Logging_1884/tillsyn/A 15327-2024 tillsynsbegäran.docx", "A 15327-2024")</f>
        <v/>
      </c>
      <c r="Y338">
        <f>HYPERLINK("https://klasma.github.io/Logging_1884/tillsynsmail/A 15327-2024 tillsynsbegäran mail.docx", "A 15327-2024")</f>
        <v/>
      </c>
    </row>
    <row r="339" ht="15" customHeight="1">
      <c r="A339" t="inlineStr">
        <is>
          <t>A 12720-2024</t>
        </is>
      </c>
      <c r="B339" s="1" t="n">
        <v>45384</v>
      </c>
      <c r="C339" s="1" t="n">
        <v>45952</v>
      </c>
      <c r="D339" t="inlineStr">
        <is>
          <t>ÖREBRO LÄN</t>
        </is>
      </c>
      <c r="E339" t="inlineStr">
        <is>
          <t>DEGERFORS</t>
        </is>
      </c>
      <c r="F339" t="inlineStr">
        <is>
          <t>Sveaskog</t>
        </is>
      </c>
      <c r="G339" t="n">
        <v>5.1</v>
      </c>
      <c r="H339" t="n">
        <v>1</v>
      </c>
      <c r="I339" t="n">
        <v>0</v>
      </c>
      <c r="J339" t="n">
        <v>1</v>
      </c>
      <c r="K339" t="n">
        <v>0</v>
      </c>
      <c r="L339" t="n">
        <v>0</v>
      </c>
      <c r="M339" t="n">
        <v>0</v>
      </c>
      <c r="N339" t="n">
        <v>0</v>
      </c>
      <c r="O339" t="n">
        <v>1</v>
      </c>
      <c r="P339" t="n">
        <v>0</v>
      </c>
      <c r="Q339" t="n">
        <v>1</v>
      </c>
      <c r="R339" s="2" t="inlineStr">
        <is>
          <t>Tretåig hackspett</t>
        </is>
      </c>
      <c r="S339">
        <f>HYPERLINK("https://klasma.github.io/Logging_1862/artfynd/A 12720-2024 artfynd.xlsx", "A 12720-2024")</f>
        <v/>
      </c>
      <c r="T339">
        <f>HYPERLINK("https://klasma.github.io/Logging_1862/kartor/A 12720-2024 karta.png", "A 12720-2024")</f>
        <v/>
      </c>
      <c r="V339">
        <f>HYPERLINK("https://klasma.github.io/Logging_1862/klagomål/A 12720-2024 FSC-klagomål.docx", "A 12720-2024")</f>
        <v/>
      </c>
      <c r="W339">
        <f>HYPERLINK("https://klasma.github.io/Logging_1862/klagomålsmail/A 12720-2024 FSC-klagomål mail.docx", "A 12720-2024")</f>
        <v/>
      </c>
      <c r="X339">
        <f>HYPERLINK("https://klasma.github.io/Logging_1862/tillsyn/A 12720-2024 tillsynsbegäran.docx", "A 12720-2024")</f>
        <v/>
      </c>
      <c r="Y339">
        <f>HYPERLINK("https://klasma.github.io/Logging_1862/tillsynsmail/A 12720-2024 tillsynsbegäran mail.docx", "A 12720-2024")</f>
        <v/>
      </c>
      <c r="Z339">
        <f>HYPERLINK("https://klasma.github.io/Logging_1862/fåglar/A 12720-2024 prioriterade fågelarter.docx", "A 12720-2024")</f>
        <v/>
      </c>
    </row>
    <row r="340" ht="15" customHeight="1">
      <c r="A340" t="inlineStr">
        <is>
          <t>A 1195-2023</t>
        </is>
      </c>
      <c r="B340" s="1" t="n">
        <v>44935</v>
      </c>
      <c r="C340" s="1" t="n">
        <v>45952</v>
      </c>
      <c r="D340" t="inlineStr">
        <is>
          <t>ÖREBRO LÄN</t>
        </is>
      </c>
      <c r="E340" t="inlineStr">
        <is>
          <t>HALLSBERG</t>
        </is>
      </c>
      <c r="G340" t="n">
        <v>11.2</v>
      </c>
      <c r="H340" t="n">
        <v>0</v>
      </c>
      <c r="I340" t="n">
        <v>1</v>
      </c>
      <c r="J340" t="n">
        <v>0</v>
      </c>
      <c r="K340" t="n">
        <v>0</v>
      </c>
      <c r="L340" t="n">
        <v>0</v>
      </c>
      <c r="M340" t="n">
        <v>0</v>
      </c>
      <c r="N340" t="n">
        <v>0</v>
      </c>
      <c r="O340" t="n">
        <v>0</v>
      </c>
      <c r="P340" t="n">
        <v>0</v>
      </c>
      <c r="Q340" t="n">
        <v>1</v>
      </c>
      <c r="R340" s="2" t="inlineStr">
        <is>
          <t>Hasselticka</t>
        </is>
      </c>
      <c r="S340">
        <f>HYPERLINK("https://klasma.github.io/Logging_1861/artfynd/A 1195-2023 artfynd.xlsx", "A 1195-2023")</f>
        <v/>
      </c>
      <c r="T340">
        <f>HYPERLINK("https://klasma.github.io/Logging_1861/kartor/A 1195-2023 karta.png", "A 1195-2023")</f>
        <v/>
      </c>
      <c r="V340">
        <f>HYPERLINK("https://klasma.github.io/Logging_1861/klagomål/A 1195-2023 FSC-klagomål.docx", "A 1195-2023")</f>
        <v/>
      </c>
      <c r="W340">
        <f>HYPERLINK("https://klasma.github.io/Logging_1861/klagomålsmail/A 1195-2023 FSC-klagomål mail.docx", "A 1195-2023")</f>
        <v/>
      </c>
      <c r="X340">
        <f>HYPERLINK("https://klasma.github.io/Logging_1861/tillsyn/A 1195-2023 tillsynsbegäran.docx", "A 1195-2023")</f>
        <v/>
      </c>
      <c r="Y340">
        <f>HYPERLINK("https://klasma.github.io/Logging_1861/tillsynsmail/A 1195-2023 tillsynsbegäran mail.docx", "A 1195-2023")</f>
        <v/>
      </c>
    </row>
    <row r="341" ht="15" customHeight="1">
      <c r="A341" t="inlineStr">
        <is>
          <t>A 19176-2025</t>
        </is>
      </c>
      <c r="B341" s="1" t="n">
        <v>45769</v>
      </c>
      <c r="C341" s="1" t="n">
        <v>45952</v>
      </c>
      <c r="D341" t="inlineStr">
        <is>
          <t>ÖREBRO LÄN</t>
        </is>
      </c>
      <c r="E341" t="inlineStr">
        <is>
          <t>LEKEBERG</t>
        </is>
      </c>
      <c r="G341" t="n">
        <v>4.6</v>
      </c>
      <c r="H341" t="n">
        <v>1</v>
      </c>
      <c r="I341" t="n">
        <v>0</v>
      </c>
      <c r="J341" t="n">
        <v>1</v>
      </c>
      <c r="K341" t="n">
        <v>0</v>
      </c>
      <c r="L341" t="n">
        <v>0</v>
      </c>
      <c r="M341" t="n">
        <v>0</v>
      </c>
      <c r="N341" t="n">
        <v>0</v>
      </c>
      <c r="O341" t="n">
        <v>1</v>
      </c>
      <c r="P341" t="n">
        <v>0</v>
      </c>
      <c r="Q341" t="n">
        <v>1</v>
      </c>
      <c r="R341" s="2" t="inlineStr">
        <is>
          <t>Spillkråka</t>
        </is>
      </c>
      <c r="S341">
        <f>HYPERLINK("https://klasma.github.io/Logging_1814/artfynd/A 19176-2025 artfynd.xlsx", "A 19176-2025")</f>
        <v/>
      </c>
      <c r="T341">
        <f>HYPERLINK("https://klasma.github.io/Logging_1814/kartor/A 19176-2025 karta.png", "A 19176-2025")</f>
        <v/>
      </c>
      <c r="V341">
        <f>HYPERLINK("https://klasma.github.io/Logging_1814/klagomål/A 19176-2025 FSC-klagomål.docx", "A 19176-2025")</f>
        <v/>
      </c>
      <c r="W341">
        <f>HYPERLINK("https://klasma.github.io/Logging_1814/klagomålsmail/A 19176-2025 FSC-klagomål mail.docx", "A 19176-2025")</f>
        <v/>
      </c>
      <c r="X341">
        <f>HYPERLINK("https://klasma.github.io/Logging_1814/tillsyn/A 19176-2025 tillsynsbegäran.docx", "A 19176-2025")</f>
        <v/>
      </c>
      <c r="Y341">
        <f>HYPERLINK("https://klasma.github.io/Logging_1814/tillsynsmail/A 19176-2025 tillsynsbegäran mail.docx", "A 19176-2025")</f>
        <v/>
      </c>
      <c r="Z341">
        <f>HYPERLINK("https://klasma.github.io/Logging_1814/fåglar/A 19176-2025 prioriterade fågelarter.docx", "A 19176-2025")</f>
        <v/>
      </c>
    </row>
    <row r="342" ht="15" customHeight="1">
      <c r="A342" t="inlineStr">
        <is>
          <t>A 30347-2025</t>
        </is>
      </c>
      <c r="B342" s="1" t="n">
        <v>45827.53077546296</v>
      </c>
      <c r="C342" s="1" t="n">
        <v>45952</v>
      </c>
      <c r="D342" t="inlineStr">
        <is>
          <t>ÖREBRO LÄN</t>
        </is>
      </c>
      <c r="E342" t="inlineStr">
        <is>
          <t>LINDESBERG</t>
        </is>
      </c>
      <c r="F342" t="inlineStr">
        <is>
          <t>Sveaskog</t>
        </is>
      </c>
      <c r="G342" t="n">
        <v>4.6</v>
      </c>
      <c r="H342" t="n">
        <v>1</v>
      </c>
      <c r="I342" t="n">
        <v>0</v>
      </c>
      <c r="J342" t="n">
        <v>1</v>
      </c>
      <c r="K342" t="n">
        <v>0</v>
      </c>
      <c r="L342" t="n">
        <v>0</v>
      </c>
      <c r="M342" t="n">
        <v>0</v>
      </c>
      <c r="N342" t="n">
        <v>0</v>
      </c>
      <c r="O342" t="n">
        <v>1</v>
      </c>
      <c r="P342" t="n">
        <v>0</v>
      </c>
      <c r="Q342" t="n">
        <v>1</v>
      </c>
      <c r="R342" s="2" t="inlineStr">
        <is>
          <t>Järpe</t>
        </is>
      </c>
      <c r="S342">
        <f>HYPERLINK("https://klasma.github.io/Logging_1885/artfynd/A 30347-2025 artfynd.xlsx", "A 30347-2025")</f>
        <v/>
      </c>
      <c r="T342">
        <f>HYPERLINK("https://klasma.github.io/Logging_1885/kartor/A 30347-2025 karta.png", "A 30347-2025")</f>
        <v/>
      </c>
      <c r="V342">
        <f>HYPERLINK("https://klasma.github.io/Logging_1885/klagomål/A 30347-2025 FSC-klagomål.docx", "A 30347-2025")</f>
        <v/>
      </c>
      <c r="W342">
        <f>HYPERLINK("https://klasma.github.io/Logging_1885/klagomålsmail/A 30347-2025 FSC-klagomål mail.docx", "A 30347-2025")</f>
        <v/>
      </c>
      <c r="X342">
        <f>HYPERLINK("https://klasma.github.io/Logging_1885/tillsyn/A 30347-2025 tillsynsbegäran.docx", "A 30347-2025")</f>
        <v/>
      </c>
      <c r="Y342">
        <f>HYPERLINK("https://klasma.github.io/Logging_1885/tillsynsmail/A 30347-2025 tillsynsbegäran mail.docx", "A 30347-2025")</f>
        <v/>
      </c>
      <c r="Z342">
        <f>HYPERLINK("https://klasma.github.io/Logging_1885/fåglar/A 30347-2025 prioriterade fågelarter.docx", "A 30347-2025")</f>
        <v/>
      </c>
    </row>
    <row r="343" ht="15" customHeight="1">
      <c r="A343" t="inlineStr">
        <is>
          <t>A 38601-2024</t>
        </is>
      </c>
      <c r="B343" s="1" t="n">
        <v>45546.67635416667</v>
      </c>
      <c r="C343" s="1" t="n">
        <v>45952</v>
      </c>
      <c r="D343" t="inlineStr">
        <is>
          <t>ÖREBRO LÄN</t>
        </is>
      </c>
      <c r="E343" t="inlineStr">
        <is>
          <t>ASKERSUND</t>
        </is>
      </c>
      <c r="F343" t="inlineStr">
        <is>
          <t>Sveaskog</t>
        </is>
      </c>
      <c r="G343" t="n">
        <v>1.5</v>
      </c>
      <c r="H343" t="n">
        <v>0</v>
      </c>
      <c r="I343" t="n">
        <v>0</v>
      </c>
      <c r="J343" t="n">
        <v>1</v>
      </c>
      <c r="K343" t="n">
        <v>0</v>
      </c>
      <c r="L343" t="n">
        <v>0</v>
      </c>
      <c r="M343" t="n">
        <v>0</v>
      </c>
      <c r="N343" t="n">
        <v>0</v>
      </c>
      <c r="O343" t="n">
        <v>1</v>
      </c>
      <c r="P343" t="n">
        <v>0</v>
      </c>
      <c r="Q343" t="n">
        <v>1</v>
      </c>
      <c r="R343" s="2" t="inlineStr">
        <is>
          <t>Luddfingersvamp</t>
        </is>
      </c>
      <c r="S343">
        <f>HYPERLINK("https://klasma.github.io/Logging_1882/artfynd/A 38601-2024 artfynd.xlsx", "A 38601-2024")</f>
        <v/>
      </c>
      <c r="T343">
        <f>HYPERLINK("https://klasma.github.io/Logging_1882/kartor/A 38601-2024 karta.png", "A 38601-2024")</f>
        <v/>
      </c>
      <c r="V343">
        <f>HYPERLINK("https://klasma.github.io/Logging_1882/klagomål/A 38601-2024 FSC-klagomål.docx", "A 38601-2024")</f>
        <v/>
      </c>
      <c r="W343">
        <f>HYPERLINK("https://klasma.github.io/Logging_1882/klagomålsmail/A 38601-2024 FSC-klagomål mail.docx", "A 38601-2024")</f>
        <v/>
      </c>
      <c r="X343">
        <f>HYPERLINK("https://klasma.github.io/Logging_1882/tillsyn/A 38601-2024 tillsynsbegäran.docx", "A 38601-2024")</f>
        <v/>
      </c>
      <c r="Y343">
        <f>HYPERLINK("https://klasma.github.io/Logging_1882/tillsynsmail/A 38601-2024 tillsynsbegäran mail.docx", "A 38601-2024")</f>
        <v/>
      </c>
    </row>
    <row r="344" ht="15" customHeight="1">
      <c r="A344" t="inlineStr">
        <is>
          <t>A 55286-2024</t>
        </is>
      </c>
      <c r="B344" s="1" t="n">
        <v>45621.63222222222</v>
      </c>
      <c r="C344" s="1" t="n">
        <v>45952</v>
      </c>
      <c r="D344" t="inlineStr">
        <is>
          <t>ÖREBRO LÄN</t>
        </is>
      </c>
      <c r="E344" t="inlineStr">
        <is>
          <t>KUMLA</t>
        </is>
      </c>
      <c r="G344" t="n">
        <v>2.3</v>
      </c>
      <c r="H344" t="n">
        <v>1</v>
      </c>
      <c r="I344" t="n">
        <v>0</v>
      </c>
      <c r="J344" t="n">
        <v>1</v>
      </c>
      <c r="K344" t="n">
        <v>0</v>
      </c>
      <c r="L344" t="n">
        <v>0</v>
      </c>
      <c r="M344" t="n">
        <v>0</v>
      </c>
      <c r="N344" t="n">
        <v>0</v>
      </c>
      <c r="O344" t="n">
        <v>1</v>
      </c>
      <c r="P344" t="n">
        <v>0</v>
      </c>
      <c r="Q344" t="n">
        <v>1</v>
      </c>
      <c r="R344" s="2" t="inlineStr">
        <is>
          <t>Grönsångare</t>
        </is>
      </c>
      <c r="S344">
        <f>HYPERLINK("https://klasma.github.io/Logging_1881/artfynd/A 55286-2024 artfynd.xlsx", "A 55286-2024")</f>
        <v/>
      </c>
      <c r="T344">
        <f>HYPERLINK("https://klasma.github.io/Logging_1881/kartor/A 55286-2024 karta.png", "A 55286-2024")</f>
        <v/>
      </c>
      <c r="V344">
        <f>HYPERLINK("https://klasma.github.io/Logging_1881/klagomål/A 55286-2024 FSC-klagomål.docx", "A 55286-2024")</f>
        <v/>
      </c>
      <c r="W344">
        <f>HYPERLINK("https://klasma.github.io/Logging_1881/klagomålsmail/A 55286-2024 FSC-klagomål mail.docx", "A 55286-2024")</f>
        <v/>
      </c>
      <c r="X344">
        <f>HYPERLINK("https://klasma.github.io/Logging_1881/tillsyn/A 55286-2024 tillsynsbegäran.docx", "A 55286-2024")</f>
        <v/>
      </c>
      <c r="Y344">
        <f>HYPERLINK("https://klasma.github.io/Logging_1881/tillsynsmail/A 55286-2024 tillsynsbegäran mail.docx", "A 55286-2024")</f>
        <v/>
      </c>
      <c r="Z344">
        <f>HYPERLINK("https://klasma.github.io/Logging_1881/fåglar/A 55286-2024 prioriterade fågelarter.docx", "A 55286-2024")</f>
        <v/>
      </c>
    </row>
    <row r="345" ht="15" customHeight="1">
      <c r="A345" t="inlineStr">
        <is>
          <t>A 31512-2023</t>
        </is>
      </c>
      <c r="B345" s="1" t="n">
        <v>45115</v>
      </c>
      <c r="C345" s="1" t="n">
        <v>45952</v>
      </c>
      <c r="D345" t="inlineStr">
        <is>
          <t>ÖREBRO LÄN</t>
        </is>
      </c>
      <c r="E345" t="inlineStr">
        <is>
          <t>ASKERSUND</t>
        </is>
      </c>
      <c r="F345" t="inlineStr">
        <is>
          <t>Sveaskog</t>
        </is>
      </c>
      <c r="G345" t="n">
        <v>1.1</v>
      </c>
      <c r="H345" t="n">
        <v>1</v>
      </c>
      <c r="I345" t="n">
        <v>0</v>
      </c>
      <c r="J345" t="n">
        <v>1</v>
      </c>
      <c r="K345" t="n">
        <v>0</v>
      </c>
      <c r="L345" t="n">
        <v>0</v>
      </c>
      <c r="M345" t="n">
        <v>0</v>
      </c>
      <c r="N345" t="n">
        <v>0</v>
      </c>
      <c r="O345" t="n">
        <v>1</v>
      </c>
      <c r="P345" t="n">
        <v>0</v>
      </c>
      <c r="Q345" t="n">
        <v>1</v>
      </c>
      <c r="R345" s="2" t="inlineStr">
        <is>
          <t>Talltita</t>
        </is>
      </c>
      <c r="S345">
        <f>HYPERLINK("https://klasma.github.io/Logging_1882/artfynd/A 31512-2023 artfynd.xlsx", "A 31512-2023")</f>
        <v/>
      </c>
      <c r="T345">
        <f>HYPERLINK("https://klasma.github.io/Logging_1882/kartor/A 31512-2023 karta.png", "A 31512-2023")</f>
        <v/>
      </c>
      <c r="V345">
        <f>HYPERLINK("https://klasma.github.io/Logging_1882/klagomål/A 31512-2023 FSC-klagomål.docx", "A 31512-2023")</f>
        <v/>
      </c>
      <c r="W345">
        <f>HYPERLINK("https://klasma.github.io/Logging_1882/klagomålsmail/A 31512-2023 FSC-klagomål mail.docx", "A 31512-2023")</f>
        <v/>
      </c>
      <c r="X345">
        <f>HYPERLINK("https://klasma.github.io/Logging_1882/tillsyn/A 31512-2023 tillsynsbegäran.docx", "A 31512-2023")</f>
        <v/>
      </c>
      <c r="Y345">
        <f>HYPERLINK("https://klasma.github.io/Logging_1882/tillsynsmail/A 31512-2023 tillsynsbegäran mail.docx", "A 31512-2023")</f>
        <v/>
      </c>
      <c r="Z345">
        <f>HYPERLINK("https://klasma.github.io/Logging_1882/fåglar/A 31512-2023 prioriterade fågelarter.docx", "A 31512-2023")</f>
        <v/>
      </c>
    </row>
    <row r="346" ht="15" customHeight="1">
      <c r="A346" t="inlineStr">
        <is>
          <t>A 14064-2024</t>
        </is>
      </c>
      <c r="B346" s="1" t="n">
        <v>45392.56644675926</v>
      </c>
      <c r="C346" s="1" t="n">
        <v>45952</v>
      </c>
      <c r="D346" t="inlineStr">
        <is>
          <t>ÖREBRO LÄN</t>
        </is>
      </c>
      <c r="E346" t="inlineStr">
        <is>
          <t>HALLSBERG</t>
        </is>
      </c>
      <c r="G346" t="n">
        <v>4</v>
      </c>
      <c r="H346" t="n">
        <v>1</v>
      </c>
      <c r="I346" t="n">
        <v>0</v>
      </c>
      <c r="J346" t="n">
        <v>0</v>
      </c>
      <c r="K346" t="n">
        <v>0</v>
      </c>
      <c r="L346" t="n">
        <v>0</v>
      </c>
      <c r="M346" t="n">
        <v>0</v>
      </c>
      <c r="N346" t="n">
        <v>0</v>
      </c>
      <c r="O346" t="n">
        <v>0</v>
      </c>
      <c r="P346" t="n">
        <v>0</v>
      </c>
      <c r="Q346" t="n">
        <v>1</v>
      </c>
      <c r="R346" s="2" t="inlineStr">
        <is>
          <t>Blåsippa</t>
        </is>
      </c>
      <c r="S346">
        <f>HYPERLINK("https://klasma.github.io/Logging_1861/artfynd/A 14064-2024 artfynd.xlsx", "A 14064-2024")</f>
        <v/>
      </c>
      <c r="T346">
        <f>HYPERLINK("https://klasma.github.io/Logging_1861/kartor/A 14064-2024 karta.png", "A 14064-2024")</f>
        <v/>
      </c>
      <c r="V346">
        <f>HYPERLINK("https://klasma.github.io/Logging_1861/klagomål/A 14064-2024 FSC-klagomål.docx", "A 14064-2024")</f>
        <v/>
      </c>
      <c r="W346">
        <f>HYPERLINK("https://klasma.github.io/Logging_1861/klagomålsmail/A 14064-2024 FSC-klagomål mail.docx", "A 14064-2024")</f>
        <v/>
      </c>
      <c r="X346">
        <f>HYPERLINK("https://klasma.github.io/Logging_1861/tillsyn/A 14064-2024 tillsynsbegäran.docx", "A 14064-2024")</f>
        <v/>
      </c>
      <c r="Y346">
        <f>HYPERLINK("https://klasma.github.io/Logging_1861/tillsynsmail/A 14064-2024 tillsynsbegäran mail.docx", "A 14064-2024")</f>
        <v/>
      </c>
    </row>
    <row r="347" ht="15" customHeight="1">
      <c r="A347" t="inlineStr">
        <is>
          <t>A 42036-2025</t>
        </is>
      </c>
      <c r="B347" s="1" t="n">
        <v>45903.61173611111</v>
      </c>
      <c r="C347" s="1" t="n">
        <v>45952</v>
      </c>
      <c r="D347" t="inlineStr">
        <is>
          <t>ÖREBRO LÄN</t>
        </is>
      </c>
      <c r="E347" t="inlineStr">
        <is>
          <t>NORA</t>
        </is>
      </c>
      <c r="G347" t="n">
        <v>2.8</v>
      </c>
      <c r="H347" t="n">
        <v>0</v>
      </c>
      <c r="I347" t="n">
        <v>0</v>
      </c>
      <c r="J347" t="n">
        <v>1</v>
      </c>
      <c r="K347" t="n">
        <v>0</v>
      </c>
      <c r="L347" t="n">
        <v>0</v>
      </c>
      <c r="M347" t="n">
        <v>0</v>
      </c>
      <c r="N347" t="n">
        <v>0</v>
      </c>
      <c r="O347" t="n">
        <v>1</v>
      </c>
      <c r="P347" t="n">
        <v>0</v>
      </c>
      <c r="Q347" t="n">
        <v>1</v>
      </c>
      <c r="R347" s="2" t="inlineStr">
        <is>
          <t>Slåtterfibbla</t>
        </is>
      </c>
      <c r="S347">
        <f>HYPERLINK("https://klasma.github.io/Logging_1884/artfynd/A 42036-2025 artfynd.xlsx", "A 42036-2025")</f>
        <v/>
      </c>
      <c r="T347">
        <f>HYPERLINK("https://klasma.github.io/Logging_1884/kartor/A 42036-2025 karta.png", "A 42036-2025")</f>
        <v/>
      </c>
      <c r="V347">
        <f>HYPERLINK("https://klasma.github.io/Logging_1884/klagomål/A 42036-2025 FSC-klagomål.docx", "A 42036-2025")</f>
        <v/>
      </c>
      <c r="W347">
        <f>HYPERLINK("https://klasma.github.io/Logging_1884/klagomålsmail/A 42036-2025 FSC-klagomål mail.docx", "A 42036-2025")</f>
        <v/>
      </c>
      <c r="X347">
        <f>HYPERLINK("https://klasma.github.io/Logging_1884/tillsyn/A 42036-2025 tillsynsbegäran.docx", "A 42036-2025")</f>
        <v/>
      </c>
      <c r="Y347">
        <f>HYPERLINK("https://klasma.github.io/Logging_1884/tillsynsmail/A 42036-2025 tillsynsbegäran mail.docx", "A 42036-2025")</f>
        <v/>
      </c>
    </row>
    <row r="348" ht="15" customHeight="1">
      <c r="A348" t="inlineStr">
        <is>
          <t>A 26651-2025</t>
        </is>
      </c>
      <c r="B348" s="1" t="n">
        <v>45810</v>
      </c>
      <c r="C348" s="1" t="n">
        <v>45952</v>
      </c>
      <c r="D348" t="inlineStr">
        <is>
          <t>ÖREBRO LÄN</t>
        </is>
      </c>
      <c r="E348" t="inlineStr">
        <is>
          <t>KARLSKOGA</t>
        </is>
      </c>
      <c r="F348" t="inlineStr">
        <is>
          <t>Sveaskog</t>
        </is>
      </c>
      <c r="G348" t="n">
        <v>3.2</v>
      </c>
      <c r="H348" t="n">
        <v>1</v>
      </c>
      <c r="I348" t="n">
        <v>0</v>
      </c>
      <c r="J348" t="n">
        <v>0</v>
      </c>
      <c r="K348" t="n">
        <v>0</v>
      </c>
      <c r="L348" t="n">
        <v>0</v>
      </c>
      <c r="M348" t="n">
        <v>0</v>
      </c>
      <c r="N348" t="n">
        <v>0</v>
      </c>
      <c r="O348" t="n">
        <v>0</v>
      </c>
      <c r="P348" t="n">
        <v>0</v>
      </c>
      <c r="Q348" t="n">
        <v>1</v>
      </c>
      <c r="R348" s="2" t="inlineStr">
        <is>
          <t>Fläcknycklar</t>
        </is>
      </c>
      <c r="S348">
        <f>HYPERLINK("https://klasma.github.io/Logging_1883/artfynd/A 26651-2025 artfynd.xlsx", "A 26651-2025")</f>
        <v/>
      </c>
      <c r="T348">
        <f>HYPERLINK("https://klasma.github.io/Logging_1883/kartor/A 26651-2025 karta.png", "A 26651-2025")</f>
        <v/>
      </c>
      <c r="V348">
        <f>HYPERLINK("https://klasma.github.io/Logging_1883/klagomål/A 26651-2025 FSC-klagomål.docx", "A 26651-2025")</f>
        <v/>
      </c>
      <c r="W348">
        <f>HYPERLINK("https://klasma.github.io/Logging_1883/klagomålsmail/A 26651-2025 FSC-klagomål mail.docx", "A 26651-2025")</f>
        <v/>
      </c>
      <c r="X348">
        <f>HYPERLINK("https://klasma.github.io/Logging_1883/tillsyn/A 26651-2025 tillsynsbegäran.docx", "A 26651-2025")</f>
        <v/>
      </c>
      <c r="Y348">
        <f>HYPERLINK("https://klasma.github.io/Logging_1883/tillsynsmail/A 26651-2025 tillsynsbegäran mail.docx", "A 26651-2025")</f>
        <v/>
      </c>
    </row>
    <row r="349" ht="15" customHeight="1">
      <c r="A349" t="inlineStr">
        <is>
          <t>A 8532-2025</t>
        </is>
      </c>
      <c r="B349" s="1" t="n">
        <v>45709</v>
      </c>
      <c r="C349" s="1" t="n">
        <v>45952</v>
      </c>
      <c r="D349" t="inlineStr">
        <is>
          <t>ÖREBRO LÄN</t>
        </is>
      </c>
      <c r="E349" t="inlineStr">
        <is>
          <t>LAXÅ</t>
        </is>
      </c>
      <c r="F349" t="inlineStr">
        <is>
          <t>Sveaskog</t>
        </is>
      </c>
      <c r="G349" t="n">
        <v>2.1</v>
      </c>
      <c r="H349" t="n">
        <v>1</v>
      </c>
      <c r="I349" t="n">
        <v>0</v>
      </c>
      <c r="J349" t="n">
        <v>0</v>
      </c>
      <c r="K349" t="n">
        <v>0</v>
      </c>
      <c r="L349" t="n">
        <v>0</v>
      </c>
      <c r="M349" t="n">
        <v>0</v>
      </c>
      <c r="N349" t="n">
        <v>0</v>
      </c>
      <c r="O349" t="n">
        <v>0</v>
      </c>
      <c r="P349" t="n">
        <v>0</v>
      </c>
      <c r="Q349" t="n">
        <v>1</v>
      </c>
      <c r="R349" s="2" t="inlineStr">
        <is>
          <t>Hårklomossa</t>
        </is>
      </c>
      <c r="S349">
        <f>HYPERLINK("https://klasma.github.io/Logging_1860/artfynd/A 8532-2025 artfynd.xlsx", "A 8532-2025")</f>
        <v/>
      </c>
      <c r="T349">
        <f>HYPERLINK("https://klasma.github.io/Logging_1860/kartor/A 8532-2025 karta.png", "A 8532-2025")</f>
        <v/>
      </c>
      <c r="V349">
        <f>HYPERLINK("https://klasma.github.io/Logging_1860/klagomål/A 8532-2025 FSC-klagomål.docx", "A 8532-2025")</f>
        <v/>
      </c>
      <c r="W349">
        <f>HYPERLINK("https://klasma.github.io/Logging_1860/klagomålsmail/A 8532-2025 FSC-klagomål mail.docx", "A 8532-2025")</f>
        <v/>
      </c>
      <c r="X349">
        <f>HYPERLINK("https://klasma.github.io/Logging_1860/tillsyn/A 8532-2025 tillsynsbegäran.docx", "A 8532-2025")</f>
        <v/>
      </c>
      <c r="Y349">
        <f>HYPERLINK("https://klasma.github.io/Logging_1860/tillsynsmail/A 8532-2025 tillsynsbegäran mail.docx", "A 8532-2025")</f>
        <v/>
      </c>
    </row>
    <row r="350" ht="15" customHeight="1">
      <c r="A350" t="inlineStr">
        <is>
          <t>A 26658-2025</t>
        </is>
      </c>
      <c r="B350" s="1" t="n">
        <v>45810.39315972223</v>
      </c>
      <c r="C350" s="1" t="n">
        <v>45952</v>
      </c>
      <c r="D350" t="inlineStr">
        <is>
          <t>ÖREBRO LÄN</t>
        </is>
      </c>
      <c r="E350" t="inlineStr">
        <is>
          <t>NORA</t>
        </is>
      </c>
      <c r="F350" t="inlineStr">
        <is>
          <t>Sveaskog</t>
        </is>
      </c>
      <c r="G350" t="n">
        <v>5.6</v>
      </c>
      <c r="H350" t="n">
        <v>1</v>
      </c>
      <c r="I350" t="n">
        <v>0</v>
      </c>
      <c r="J350" t="n">
        <v>0</v>
      </c>
      <c r="K350" t="n">
        <v>0</v>
      </c>
      <c r="L350" t="n">
        <v>0</v>
      </c>
      <c r="M350" t="n">
        <v>0</v>
      </c>
      <c r="N350" t="n">
        <v>0</v>
      </c>
      <c r="O350" t="n">
        <v>0</v>
      </c>
      <c r="P350" t="n">
        <v>0</v>
      </c>
      <c r="Q350" t="n">
        <v>1</v>
      </c>
      <c r="R350" s="2" t="inlineStr">
        <is>
          <t>Fläcknycklar</t>
        </is>
      </c>
      <c r="S350">
        <f>HYPERLINK("https://klasma.github.io/Logging_1884/artfynd/A 26658-2025 artfynd.xlsx", "A 26658-2025")</f>
        <v/>
      </c>
      <c r="T350">
        <f>HYPERLINK("https://klasma.github.io/Logging_1884/kartor/A 26658-2025 karta.png", "A 26658-2025")</f>
        <v/>
      </c>
      <c r="V350">
        <f>HYPERLINK("https://klasma.github.io/Logging_1884/klagomål/A 26658-2025 FSC-klagomål.docx", "A 26658-2025")</f>
        <v/>
      </c>
      <c r="W350">
        <f>HYPERLINK("https://klasma.github.io/Logging_1884/klagomålsmail/A 26658-2025 FSC-klagomål mail.docx", "A 26658-2025")</f>
        <v/>
      </c>
      <c r="X350">
        <f>HYPERLINK("https://klasma.github.io/Logging_1884/tillsyn/A 26658-2025 tillsynsbegäran.docx", "A 26658-2025")</f>
        <v/>
      </c>
      <c r="Y350">
        <f>HYPERLINK("https://klasma.github.io/Logging_1884/tillsynsmail/A 26658-2025 tillsynsbegäran mail.docx", "A 26658-2025")</f>
        <v/>
      </c>
    </row>
    <row r="351" ht="15" customHeight="1">
      <c r="A351" t="inlineStr">
        <is>
          <t>A 26659-2025</t>
        </is>
      </c>
      <c r="B351" s="1" t="n">
        <v>45810.39408564815</v>
      </c>
      <c r="C351" s="1" t="n">
        <v>45952</v>
      </c>
      <c r="D351" t="inlineStr">
        <is>
          <t>ÖREBRO LÄN</t>
        </is>
      </c>
      <c r="E351" t="inlineStr">
        <is>
          <t>NORA</t>
        </is>
      </c>
      <c r="F351" t="inlineStr">
        <is>
          <t>Sveaskog</t>
        </is>
      </c>
      <c r="G351" t="n">
        <v>7</v>
      </c>
      <c r="H351" t="n">
        <v>1</v>
      </c>
      <c r="I351" t="n">
        <v>0</v>
      </c>
      <c r="J351" t="n">
        <v>0</v>
      </c>
      <c r="K351" t="n">
        <v>0</v>
      </c>
      <c r="L351" t="n">
        <v>0</v>
      </c>
      <c r="M351" t="n">
        <v>0</v>
      </c>
      <c r="N351" t="n">
        <v>0</v>
      </c>
      <c r="O351" t="n">
        <v>0</v>
      </c>
      <c r="P351" t="n">
        <v>0</v>
      </c>
      <c r="Q351" t="n">
        <v>1</v>
      </c>
      <c r="R351" s="2" t="inlineStr">
        <is>
          <t>Fläcknycklar</t>
        </is>
      </c>
      <c r="S351">
        <f>HYPERLINK("https://klasma.github.io/Logging_1884/artfynd/A 26659-2025 artfynd.xlsx", "A 26659-2025")</f>
        <v/>
      </c>
      <c r="T351">
        <f>HYPERLINK("https://klasma.github.io/Logging_1884/kartor/A 26659-2025 karta.png", "A 26659-2025")</f>
        <v/>
      </c>
      <c r="V351">
        <f>HYPERLINK("https://klasma.github.io/Logging_1884/klagomål/A 26659-2025 FSC-klagomål.docx", "A 26659-2025")</f>
        <v/>
      </c>
      <c r="W351">
        <f>HYPERLINK("https://klasma.github.io/Logging_1884/klagomålsmail/A 26659-2025 FSC-klagomål mail.docx", "A 26659-2025")</f>
        <v/>
      </c>
      <c r="X351">
        <f>HYPERLINK("https://klasma.github.io/Logging_1884/tillsyn/A 26659-2025 tillsynsbegäran.docx", "A 26659-2025")</f>
        <v/>
      </c>
      <c r="Y351">
        <f>HYPERLINK("https://klasma.github.io/Logging_1884/tillsynsmail/A 26659-2025 tillsynsbegäran mail.docx", "A 26659-2025")</f>
        <v/>
      </c>
    </row>
    <row r="352" ht="15" customHeight="1">
      <c r="A352" t="inlineStr">
        <is>
          <t>A 50499-2025</t>
        </is>
      </c>
      <c r="B352" s="1" t="n">
        <v>45945.41712962963</v>
      </c>
      <c r="C352" s="1" t="n">
        <v>45952</v>
      </c>
      <c r="D352" t="inlineStr">
        <is>
          <t>ÖREBRO LÄN</t>
        </is>
      </c>
      <c r="E352" t="inlineStr">
        <is>
          <t>ÖREBRO</t>
        </is>
      </c>
      <c r="G352" t="n">
        <v>6.7</v>
      </c>
      <c r="H352" t="n">
        <v>0</v>
      </c>
      <c r="I352" t="n">
        <v>0</v>
      </c>
      <c r="J352" t="n">
        <v>1</v>
      </c>
      <c r="K352" t="n">
        <v>0</v>
      </c>
      <c r="L352" t="n">
        <v>0</v>
      </c>
      <c r="M352" t="n">
        <v>0</v>
      </c>
      <c r="N352" t="n">
        <v>0</v>
      </c>
      <c r="O352" t="n">
        <v>1</v>
      </c>
      <c r="P352" t="n">
        <v>0</v>
      </c>
      <c r="Q352" t="n">
        <v>1</v>
      </c>
      <c r="R352" s="2" t="inlineStr">
        <is>
          <t>Gullklöver</t>
        </is>
      </c>
      <c r="S352">
        <f>HYPERLINK("https://klasma.github.io/Logging_1880/artfynd/A 50499-2025 artfynd.xlsx", "A 50499-2025")</f>
        <v/>
      </c>
      <c r="T352">
        <f>HYPERLINK("https://klasma.github.io/Logging_1880/kartor/A 50499-2025 karta.png", "A 50499-2025")</f>
        <v/>
      </c>
      <c r="V352">
        <f>HYPERLINK("https://klasma.github.io/Logging_1880/klagomål/A 50499-2025 FSC-klagomål.docx", "A 50499-2025")</f>
        <v/>
      </c>
      <c r="W352">
        <f>HYPERLINK("https://klasma.github.io/Logging_1880/klagomålsmail/A 50499-2025 FSC-klagomål mail.docx", "A 50499-2025")</f>
        <v/>
      </c>
      <c r="X352">
        <f>HYPERLINK("https://klasma.github.io/Logging_1880/tillsyn/A 50499-2025 tillsynsbegäran.docx", "A 50499-2025")</f>
        <v/>
      </c>
      <c r="Y352">
        <f>HYPERLINK("https://klasma.github.io/Logging_1880/tillsynsmail/A 50499-2025 tillsynsbegäran mail.docx", "A 50499-2025")</f>
        <v/>
      </c>
    </row>
    <row r="353" ht="15" customHeight="1">
      <c r="A353" t="inlineStr">
        <is>
          <t>A 26890-2022</t>
        </is>
      </c>
      <c r="B353" s="1" t="n">
        <v>44740</v>
      </c>
      <c r="C353" s="1" t="n">
        <v>45952</v>
      </c>
      <c r="D353" t="inlineStr">
        <is>
          <t>ÖREBRO LÄN</t>
        </is>
      </c>
      <c r="E353" t="inlineStr">
        <is>
          <t>ÖREBRO</t>
        </is>
      </c>
      <c r="G353" t="n">
        <v>4.2</v>
      </c>
      <c r="H353" t="n">
        <v>1</v>
      </c>
      <c r="I353" t="n">
        <v>0</v>
      </c>
      <c r="J353" t="n">
        <v>0</v>
      </c>
      <c r="K353" t="n">
        <v>1</v>
      </c>
      <c r="L353" t="n">
        <v>0</v>
      </c>
      <c r="M353" t="n">
        <v>0</v>
      </c>
      <c r="N353" t="n">
        <v>0</v>
      </c>
      <c r="O353" t="n">
        <v>1</v>
      </c>
      <c r="P353" t="n">
        <v>1</v>
      </c>
      <c r="Q353" t="n">
        <v>1</v>
      </c>
      <c r="R353" s="2" t="inlineStr">
        <is>
          <t>Hällebräcka</t>
        </is>
      </c>
      <c r="S353">
        <f>HYPERLINK("https://klasma.github.io/Logging_1880/artfynd/A 26890-2022 artfynd.xlsx", "A 26890-2022")</f>
        <v/>
      </c>
      <c r="T353">
        <f>HYPERLINK("https://klasma.github.io/Logging_1880/kartor/A 26890-2022 karta.png", "A 26890-2022")</f>
        <v/>
      </c>
      <c r="V353">
        <f>HYPERLINK("https://klasma.github.io/Logging_1880/klagomål/A 26890-2022 FSC-klagomål.docx", "A 26890-2022")</f>
        <v/>
      </c>
      <c r="W353">
        <f>HYPERLINK("https://klasma.github.io/Logging_1880/klagomålsmail/A 26890-2022 FSC-klagomål mail.docx", "A 26890-2022")</f>
        <v/>
      </c>
      <c r="X353">
        <f>HYPERLINK("https://klasma.github.io/Logging_1880/tillsyn/A 26890-2022 tillsynsbegäran.docx", "A 26890-2022")</f>
        <v/>
      </c>
      <c r="Y353">
        <f>HYPERLINK("https://klasma.github.io/Logging_1880/tillsynsmail/A 26890-2022 tillsynsbegäran mail.docx", "A 26890-2022")</f>
        <v/>
      </c>
    </row>
    <row r="354" ht="15" customHeight="1">
      <c r="A354" t="inlineStr">
        <is>
          <t>A 30725-2023</t>
        </is>
      </c>
      <c r="B354" s="1" t="n">
        <v>45112.61451388889</v>
      </c>
      <c r="C354" s="1" t="n">
        <v>45952</v>
      </c>
      <c r="D354" t="inlineStr">
        <is>
          <t>ÖREBRO LÄN</t>
        </is>
      </c>
      <c r="E354" t="inlineStr">
        <is>
          <t>ÖREBRO</t>
        </is>
      </c>
      <c r="G354" t="n">
        <v>1.8</v>
      </c>
      <c r="H354" t="n">
        <v>1</v>
      </c>
      <c r="I354" t="n">
        <v>0</v>
      </c>
      <c r="J354" t="n">
        <v>1</v>
      </c>
      <c r="K354" t="n">
        <v>0</v>
      </c>
      <c r="L354" t="n">
        <v>0</v>
      </c>
      <c r="M354" t="n">
        <v>0</v>
      </c>
      <c r="N354" t="n">
        <v>0</v>
      </c>
      <c r="O354" t="n">
        <v>1</v>
      </c>
      <c r="P354" t="n">
        <v>0</v>
      </c>
      <c r="Q354" t="n">
        <v>1</v>
      </c>
      <c r="R354" s="2" t="inlineStr">
        <is>
          <t>Gulsparv</t>
        </is>
      </c>
      <c r="S354">
        <f>HYPERLINK("https://klasma.github.io/Logging_1880/artfynd/A 30725-2023 artfynd.xlsx", "A 30725-2023")</f>
        <v/>
      </c>
      <c r="T354">
        <f>HYPERLINK("https://klasma.github.io/Logging_1880/kartor/A 30725-2023 karta.png", "A 30725-2023")</f>
        <v/>
      </c>
      <c r="V354">
        <f>HYPERLINK("https://klasma.github.io/Logging_1880/klagomål/A 30725-2023 FSC-klagomål.docx", "A 30725-2023")</f>
        <v/>
      </c>
      <c r="W354">
        <f>HYPERLINK("https://klasma.github.io/Logging_1880/klagomålsmail/A 30725-2023 FSC-klagomål mail.docx", "A 30725-2023")</f>
        <v/>
      </c>
      <c r="X354">
        <f>HYPERLINK("https://klasma.github.io/Logging_1880/tillsyn/A 30725-2023 tillsynsbegäran.docx", "A 30725-2023")</f>
        <v/>
      </c>
      <c r="Y354">
        <f>HYPERLINK("https://klasma.github.io/Logging_1880/tillsynsmail/A 30725-2023 tillsynsbegäran mail.docx", "A 30725-2023")</f>
        <v/>
      </c>
      <c r="Z354">
        <f>HYPERLINK("https://klasma.github.io/Logging_1880/fåglar/A 30725-2023 prioriterade fågelarter.docx", "A 30725-2023")</f>
        <v/>
      </c>
    </row>
    <row r="355" ht="15" customHeight="1">
      <c r="A355" t="inlineStr">
        <is>
          <t>A 50777-2025</t>
        </is>
      </c>
      <c r="B355" s="1" t="n">
        <v>45946.45171296296</v>
      </c>
      <c r="C355" s="1" t="n">
        <v>45952</v>
      </c>
      <c r="D355" t="inlineStr">
        <is>
          <t>ÖREBRO LÄN</t>
        </is>
      </c>
      <c r="E355" t="inlineStr">
        <is>
          <t>LINDESBERG</t>
        </is>
      </c>
      <c r="F355" t="inlineStr">
        <is>
          <t>Sveaskog</t>
        </is>
      </c>
      <c r="G355" t="n">
        <v>5.3</v>
      </c>
      <c r="H355" t="n">
        <v>0</v>
      </c>
      <c r="I355" t="n">
        <v>1</v>
      </c>
      <c r="J355" t="n">
        <v>0</v>
      </c>
      <c r="K355" t="n">
        <v>0</v>
      </c>
      <c r="L355" t="n">
        <v>0</v>
      </c>
      <c r="M355" t="n">
        <v>0</v>
      </c>
      <c r="N355" t="n">
        <v>0</v>
      </c>
      <c r="O355" t="n">
        <v>0</v>
      </c>
      <c r="P355" t="n">
        <v>0</v>
      </c>
      <c r="Q355" t="n">
        <v>1</v>
      </c>
      <c r="R355" s="2" t="inlineStr">
        <is>
          <t>Zontaggsvamp</t>
        </is>
      </c>
      <c r="S355">
        <f>HYPERLINK("https://klasma.github.io/Logging_1885/artfynd/A 50777-2025 artfynd.xlsx", "A 50777-2025")</f>
        <v/>
      </c>
      <c r="T355">
        <f>HYPERLINK("https://klasma.github.io/Logging_1885/kartor/A 50777-2025 karta.png", "A 50777-2025")</f>
        <v/>
      </c>
      <c r="V355">
        <f>HYPERLINK("https://klasma.github.io/Logging_1885/klagomål/A 50777-2025 FSC-klagomål.docx", "A 50777-2025")</f>
        <v/>
      </c>
      <c r="W355">
        <f>HYPERLINK("https://klasma.github.io/Logging_1885/klagomålsmail/A 50777-2025 FSC-klagomål mail.docx", "A 50777-2025")</f>
        <v/>
      </c>
      <c r="X355">
        <f>HYPERLINK("https://klasma.github.io/Logging_1885/tillsyn/A 50777-2025 tillsynsbegäran.docx", "A 50777-2025")</f>
        <v/>
      </c>
      <c r="Y355">
        <f>HYPERLINK("https://klasma.github.io/Logging_1885/tillsynsmail/A 50777-2025 tillsynsbegäran mail.docx", "A 50777-2025")</f>
        <v/>
      </c>
    </row>
    <row r="356" ht="15" customHeight="1">
      <c r="A356" t="inlineStr">
        <is>
          <t>A 50768-2025</t>
        </is>
      </c>
      <c r="B356" s="1" t="n">
        <v>45946.44790509259</v>
      </c>
      <c r="C356" s="1" t="n">
        <v>45952</v>
      </c>
      <c r="D356" t="inlineStr">
        <is>
          <t>ÖREBRO LÄN</t>
        </is>
      </c>
      <c r="E356" t="inlineStr">
        <is>
          <t>LINDESBERG</t>
        </is>
      </c>
      <c r="F356" t="inlineStr">
        <is>
          <t>Sveaskog</t>
        </is>
      </c>
      <c r="G356" t="n">
        <v>3.1</v>
      </c>
      <c r="H356" t="n">
        <v>1</v>
      </c>
      <c r="I356" t="n">
        <v>1</v>
      </c>
      <c r="J356" t="n">
        <v>0</v>
      </c>
      <c r="K356" t="n">
        <v>0</v>
      </c>
      <c r="L356" t="n">
        <v>0</v>
      </c>
      <c r="M356" t="n">
        <v>0</v>
      </c>
      <c r="N356" t="n">
        <v>0</v>
      </c>
      <c r="O356" t="n">
        <v>0</v>
      </c>
      <c r="P356" t="n">
        <v>0</v>
      </c>
      <c r="Q356" t="n">
        <v>1</v>
      </c>
      <c r="R356" s="2" t="inlineStr">
        <is>
          <t>Plattlummer</t>
        </is>
      </c>
      <c r="S356">
        <f>HYPERLINK("https://klasma.github.io/Logging_1885/artfynd/A 50768-2025 artfynd.xlsx", "A 50768-2025")</f>
        <v/>
      </c>
      <c r="T356">
        <f>HYPERLINK("https://klasma.github.io/Logging_1885/kartor/A 50768-2025 karta.png", "A 50768-2025")</f>
        <v/>
      </c>
      <c r="V356">
        <f>HYPERLINK("https://klasma.github.io/Logging_1885/klagomål/A 50768-2025 FSC-klagomål.docx", "A 50768-2025")</f>
        <v/>
      </c>
      <c r="W356">
        <f>HYPERLINK("https://klasma.github.io/Logging_1885/klagomålsmail/A 50768-2025 FSC-klagomål mail.docx", "A 50768-2025")</f>
        <v/>
      </c>
      <c r="X356">
        <f>HYPERLINK("https://klasma.github.io/Logging_1885/tillsyn/A 50768-2025 tillsynsbegäran.docx", "A 50768-2025")</f>
        <v/>
      </c>
      <c r="Y356">
        <f>HYPERLINK("https://klasma.github.io/Logging_1885/tillsynsmail/A 50768-2025 tillsynsbegäran mail.docx", "A 50768-2025")</f>
        <v/>
      </c>
    </row>
    <row r="357" ht="15" customHeight="1">
      <c r="A357" t="inlineStr">
        <is>
          <t>A 32037-2024</t>
        </is>
      </c>
      <c r="B357" s="1" t="n">
        <v>45510</v>
      </c>
      <c r="C357" s="1" t="n">
        <v>45952</v>
      </c>
      <c r="D357" t="inlineStr">
        <is>
          <t>ÖREBRO LÄN</t>
        </is>
      </c>
      <c r="E357" t="inlineStr">
        <is>
          <t>ASKERSUND</t>
        </is>
      </c>
      <c r="G357" t="n">
        <v>8.199999999999999</v>
      </c>
      <c r="H357" t="n">
        <v>0</v>
      </c>
      <c r="I357" t="n">
        <v>1</v>
      </c>
      <c r="J357" t="n">
        <v>0</v>
      </c>
      <c r="K357" t="n">
        <v>0</v>
      </c>
      <c r="L357" t="n">
        <v>0</v>
      </c>
      <c r="M357" t="n">
        <v>0</v>
      </c>
      <c r="N357" t="n">
        <v>0</v>
      </c>
      <c r="O357" t="n">
        <v>0</v>
      </c>
      <c r="P357" t="n">
        <v>0</v>
      </c>
      <c r="Q357" t="n">
        <v>1</v>
      </c>
      <c r="R357" s="2" t="inlineStr">
        <is>
          <t>Svart trolldruva</t>
        </is>
      </c>
      <c r="S357">
        <f>HYPERLINK("https://klasma.github.io/Logging_1882/artfynd/A 32037-2024 artfynd.xlsx", "A 32037-2024")</f>
        <v/>
      </c>
      <c r="T357">
        <f>HYPERLINK("https://klasma.github.io/Logging_1882/kartor/A 32037-2024 karta.png", "A 32037-2024")</f>
        <v/>
      </c>
      <c r="V357">
        <f>HYPERLINK("https://klasma.github.io/Logging_1882/klagomål/A 32037-2024 FSC-klagomål.docx", "A 32037-2024")</f>
        <v/>
      </c>
      <c r="W357">
        <f>HYPERLINK("https://klasma.github.io/Logging_1882/klagomålsmail/A 32037-2024 FSC-klagomål mail.docx", "A 32037-2024")</f>
        <v/>
      </c>
      <c r="X357">
        <f>HYPERLINK("https://klasma.github.io/Logging_1882/tillsyn/A 32037-2024 tillsynsbegäran.docx", "A 32037-2024")</f>
        <v/>
      </c>
      <c r="Y357">
        <f>HYPERLINK("https://klasma.github.io/Logging_1882/tillsynsmail/A 32037-2024 tillsynsbegäran mail.docx", "A 32037-2024")</f>
        <v/>
      </c>
    </row>
    <row r="358" ht="15" customHeight="1">
      <c r="A358" t="inlineStr">
        <is>
          <t>A 50766-2025</t>
        </is>
      </c>
      <c r="B358" s="1" t="n">
        <v>45946.44423611111</v>
      </c>
      <c r="C358" s="1" t="n">
        <v>45952</v>
      </c>
      <c r="D358" t="inlineStr">
        <is>
          <t>ÖREBRO LÄN</t>
        </is>
      </c>
      <c r="E358" t="inlineStr">
        <is>
          <t>LINDESBERG</t>
        </is>
      </c>
      <c r="F358" t="inlineStr">
        <is>
          <t>Sveaskog</t>
        </is>
      </c>
      <c r="G358" t="n">
        <v>2.4</v>
      </c>
      <c r="H358" t="n">
        <v>0</v>
      </c>
      <c r="I358" t="n">
        <v>0</v>
      </c>
      <c r="J358" t="n">
        <v>0</v>
      </c>
      <c r="K358" t="n">
        <v>1</v>
      </c>
      <c r="L358" t="n">
        <v>0</v>
      </c>
      <c r="M358" t="n">
        <v>0</v>
      </c>
      <c r="N358" t="n">
        <v>0</v>
      </c>
      <c r="O358" t="n">
        <v>1</v>
      </c>
      <c r="P358" t="n">
        <v>1</v>
      </c>
      <c r="Q358" t="n">
        <v>1</v>
      </c>
      <c r="R358" s="2" t="inlineStr">
        <is>
          <t>Rotfingersvamp</t>
        </is>
      </c>
      <c r="S358">
        <f>HYPERLINK("https://klasma.github.io/Logging_1885/artfynd/A 50766-2025 artfynd.xlsx", "A 50766-2025")</f>
        <v/>
      </c>
      <c r="T358">
        <f>HYPERLINK("https://klasma.github.io/Logging_1885/kartor/A 50766-2025 karta.png", "A 50766-2025")</f>
        <v/>
      </c>
      <c r="V358">
        <f>HYPERLINK("https://klasma.github.io/Logging_1885/klagomål/A 50766-2025 FSC-klagomål.docx", "A 50766-2025")</f>
        <v/>
      </c>
      <c r="W358">
        <f>HYPERLINK("https://klasma.github.io/Logging_1885/klagomålsmail/A 50766-2025 FSC-klagomål mail.docx", "A 50766-2025")</f>
        <v/>
      </c>
      <c r="X358">
        <f>HYPERLINK("https://klasma.github.io/Logging_1885/tillsyn/A 50766-2025 tillsynsbegäran.docx", "A 50766-2025")</f>
        <v/>
      </c>
      <c r="Y358">
        <f>HYPERLINK("https://klasma.github.io/Logging_1885/tillsynsmail/A 50766-2025 tillsynsbegäran mail.docx", "A 50766-2025")</f>
        <v/>
      </c>
    </row>
    <row r="359" ht="15" customHeight="1">
      <c r="A359" t="inlineStr">
        <is>
          <t>A 28936-2025</t>
        </is>
      </c>
      <c r="B359" s="1" t="n">
        <v>45820.69287037037</v>
      </c>
      <c r="C359" s="1" t="n">
        <v>45952</v>
      </c>
      <c r="D359" t="inlineStr">
        <is>
          <t>ÖREBRO LÄN</t>
        </is>
      </c>
      <c r="E359" t="inlineStr">
        <is>
          <t>ÖREBRO</t>
        </is>
      </c>
      <c r="G359" t="n">
        <v>0.9</v>
      </c>
      <c r="H359" t="n">
        <v>1</v>
      </c>
      <c r="I359" t="n">
        <v>0</v>
      </c>
      <c r="J359" t="n">
        <v>0</v>
      </c>
      <c r="K359" t="n">
        <v>0</v>
      </c>
      <c r="L359" t="n">
        <v>0</v>
      </c>
      <c r="M359" t="n">
        <v>0</v>
      </c>
      <c r="N359" t="n">
        <v>0</v>
      </c>
      <c r="O359" t="n">
        <v>0</v>
      </c>
      <c r="P359" t="n">
        <v>0</v>
      </c>
      <c r="Q359" t="n">
        <v>1</v>
      </c>
      <c r="R359" s="2" t="inlineStr">
        <is>
          <t>Kungsfågel</t>
        </is>
      </c>
      <c r="S359">
        <f>HYPERLINK("https://klasma.github.io/Logging_1880/artfynd/A 28936-2025 artfynd.xlsx", "A 28936-2025")</f>
        <v/>
      </c>
      <c r="T359">
        <f>HYPERLINK("https://klasma.github.io/Logging_1880/kartor/A 28936-2025 karta.png", "A 28936-2025")</f>
        <v/>
      </c>
      <c r="V359">
        <f>HYPERLINK("https://klasma.github.io/Logging_1880/klagomål/A 28936-2025 FSC-klagomål.docx", "A 28936-2025")</f>
        <v/>
      </c>
      <c r="W359">
        <f>HYPERLINK("https://klasma.github.io/Logging_1880/klagomålsmail/A 28936-2025 FSC-klagomål mail.docx", "A 28936-2025")</f>
        <v/>
      </c>
      <c r="X359">
        <f>HYPERLINK("https://klasma.github.io/Logging_1880/tillsyn/A 28936-2025 tillsynsbegäran.docx", "A 28936-2025")</f>
        <v/>
      </c>
      <c r="Y359">
        <f>HYPERLINK("https://klasma.github.io/Logging_1880/tillsynsmail/A 28936-2025 tillsynsbegäran mail.docx", "A 28936-2025")</f>
        <v/>
      </c>
      <c r="Z359">
        <f>HYPERLINK("https://klasma.github.io/Logging_1880/fåglar/A 28936-2025 prioriterade fågelarter.docx", "A 28936-2025")</f>
        <v/>
      </c>
    </row>
    <row r="360" ht="15" customHeight="1">
      <c r="A360" t="inlineStr">
        <is>
          <t>A 29366-2025</t>
        </is>
      </c>
      <c r="B360" s="1" t="n">
        <v>45824.57144675926</v>
      </c>
      <c r="C360" s="1" t="n">
        <v>45952</v>
      </c>
      <c r="D360" t="inlineStr">
        <is>
          <t>ÖREBRO LÄN</t>
        </is>
      </c>
      <c r="E360" t="inlineStr">
        <is>
          <t>ASKERSUND</t>
        </is>
      </c>
      <c r="G360" t="n">
        <v>10.9</v>
      </c>
      <c r="H360" t="n">
        <v>0</v>
      </c>
      <c r="I360" t="n">
        <v>1</v>
      </c>
      <c r="J360" t="n">
        <v>0</v>
      </c>
      <c r="K360" t="n">
        <v>0</v>
      </c>
      <c r="L360" t="n">
        <v>0</v>
      </c>
      <c r="M360" t="n">
        <v>0</v>
      </c>
      <c r="N360" t="n">
        <v>0</v>
      </c>
      <c r="O360" t="n">
        <v>0</v>
      </c>
      <c r="P360" t="n">
        <v>0</v>
      </c>
      <c r="Q360" t="n">
        <v>1</v>
      </c>
      <c r="R360" s="2" t="inlineStr">
        <is>
          <t>Svart trolldruva</t>
        </is>
      </c>
      <c r="S360">
        <f>HYPERLINK("https://klasma.github.io/Logging_1882/artfynd/A 29366-2025 artfynd.xlsx", "A 29366-2025")</f>
        <v/>
      </c>
      <c r="T360">
        <f>HYPERLINK("https://klasma.github.io/Logging_1882/kartor/A 29366-2025 karta.png", "A 29366-2025")</f>
        <v/>
      </c>
      <c r="V360">
        <f>HYPERLINK("https://klasma.github.io/Logging_1882/klagomål/A 29366-2025 FSC-klagomål.docx", "A 29366-2025")</f>
        <v/>
      </c>
      <c r="W360">
        <f>HYPERLINK("https://klasma.github.io/Logging_1882/klagomålsmail/A 29366-2025 FSC-klagomål mail.docx", "A 29366-2025")</f>
        <v/>
      </c>
      <c r="X360">
        <f>HYPERLINK("https://klasma.github.io/Logging_1882/tillsyn/A 29366-2025 tillsynsbegäran.docx", "A 29366-2025")</f>
        <v/>
      </c>
      <c r="Y360">
        <f>HYPERLINK("https://klasma.github.io/Logging_1882/tillsynsmail/A 29366-2025 tillsynsbegäran mail.docx", "A 29366-2025")</f>
        <v/>
      </c>
    </row>
    <row r="361" ht="15" customHeight="1">
      <c r="A361" t="inlineStr">
        <is>
          <t>A 12793-2025</t>
        </is>
      </c>
      <c r="B361" s="1" t="n">
        <v>45733.60920138889</v>
      </c>
      <c r="C361" s="1" t="n">
        <v>45952</v>
      </c>
      <c r="D361" t="inlineStr">
        <is>
          <t>ÖREBRO LÄN</t>
        </is>
      </c>
      <c r="E361" t="inlineStr">
        <is>
          <t>ASKERSUND</t>
        </is>
      </c>
      <c r="G361" t="n">
        <v>8.5</v>
      </c>
      <c r="H361" t="n">
        <v>1</v>
      </c>
      <c r="I361" t="n">
        <v>0</v>
      </c>
      <c r="J361" t="n">
        <v>1</v>
      </c>
      <c r="K361" t="n">
        <v>0</v>
      </c>
      <c r="L361" t="n">
        <v>0</v>
      </c>
      <c r="M361" t="n">
        <v>0</v>
      </c>
      <c r="N361" t="n">
        <v>0</v>
      </c>
      <c r="O361" t="n">
        <v>1</v>
      </c>
      <c r="P361" t="n">
        <v>0</v>
      </c>
      <c r="Q361" t="n">
        <v>1</v>
      </c>
      <c r="R361" s="2" t="inlineStr">
        <is>
          <t>Spillkråka</t>
        </is>
      </c>
      <c r="S361">
        <f>HYPERLINK("https://klasma.github.io/Logging_1882/artfynd/A 12793-2025 artfynd.xlsx", "A 12793-2025")</f>
        <v/>
      </c>
      <c r="T361">
        <f>HYPERLINK("https://klasma.github.io/Logging_1882/kartor/A 12793-2025 karta.png", "A 12793-2025")</f>
        <v/>
      </c>
      <c r="V361">
        <f>HYPERLINK("https://klasma.github.io/Logging_1882/klagomål/A 12793-2025 FSC-klagomål.docx", "A 12793-2025")</f>
        <v/>
      </c>
      <c r="W361">
        <f>HYPERLINK("https://klasma.github.io/Logging_1882/klagomålsmail/A 12793-2025 FSC-klagomål mail.docx", "A 12793-2025")</f>
        <v/>
      </c>
      <c r="X361">
        <f>HYPERLINK("https://klasma.github.io/Logging_1882/tillsyn/A 12793-2025 tillsynsbegäran.docx", "A 12793-2025")</f>
        <v/>
      </c>
      <c r="Y361">
        <f>HYPERLINK("https://klasma.github.io/Logging_1882/tillsynsmail/A 12793-2025 tillsynsbegäran mail.docx", "A 12793-2025")</f>
        <v/>
      </c>
      <c r="Z361">
        <f>HYPERLINK("https://klasma.github.io/Logging_1882/fåglar/A 12793-2025 prioriterade fågelarter.docx", "A 12793-2025")</f>
        <v/>
      </c>
    </row>
    <row r="362" ht="15" customHeight="1">
      <c r="A362" t="inlineStr">
        <is>
          <t>A 53600-2024</t>
        </is>
      </c>
      <c r="B362" s="1" t="n">
        <v>45614.68596064814</v>
      </c>
      <c r="C362" s="1" t="n">
        <v>45952</v>
      </c>
      <c r="D362" t="inlineStr">
        <is>
          <t>ÖREBRO LÄN</t>
        </is>
      </c>
      <c r="E362" t="inlineStr">
        <is>
          <t>LINDESBERG</t>
        </is>
      </c>
      <c r="G362" t="n">
        <v>2.2</v>
      </c>
      <c r="H362" t="n">
        <v>1</v>
      </c>
      <c r="I362" t="n">
        <v>0</v>
      </c>
      <c r="J362" t="n">
        <v>0</v>
      </c>
      <c r="K362" t="n">
        <v>0</v>
      </c>
      <c r="L362" t="n">
        <v>1</v>
      </c>
      <c r="M362" t="n">
        <v>0</v>
      </c>
      <c r="N362" t="n">
        <v>0</v>
      </c>
      <c r="O362" t="n">
        <v>1</v>
      </c>
      <c r="P362" t="n">
        <v>1</v>
      </c>
      <c r="Q362" t="n">
        <v>1</v>
      </c>
      <c r="R362" s="2" t="inlineStr">
        <is>
          <t>Asknätfjäril</t>
        </is>
      </c>
      <c r="S362">
        <f>HYPERLINK("https://klasma.github.io/Logging_1885/artfynd/A 53600-2024 artfynd.xlsx", "A 53600-2024")</f>
        <v/>
      </c>
      <c r="T362">
        <f>HYPERLINK("https://klasma.github.io/Logging_1885/kartor/A 53600-2024 karta.png", "A 53600-2024")</f>
        <v/>
      </c>
      <c r="V362">
        <f>HYPERLINK("https://klasma.github.io/Logging_1885/klagomål/A 53600-2024 FSC-klagomål.docx", "A 53600-2024")</f>
        <v/>
      </c>
      <c r="W362">
        <f>HYPERLINK("https://klasma.github.io/Logging_1885/klagomålsmail/A 53600-2024 FSC-klagomål mail.docx", "A 53600-2024")</f>
        <v/>
      </c>
      <c r="X362">
        <f>HYPERLINK("https://klasma.github.io/Logging_1885/tillsyn/A 53600-2024 tillsynsbegäran.docx", "A 53600-2024")</f>
        <v/>
      </c>
      <c r="Y362">
        <f>HYPERLINK("https://klasma.github.io/Logging_1885/tillsynsmail/A 53600-2024 tillsynsbegäran mail.docx", "A 53600-2024")</f>
        <v/>
      </c>
    </row>
    <row r="363" ht="15" customHeight="1">
      <c r="A363" t="inlineStr">
        <is>
          <t>A 54713-2023</t>
        </is>
      </c>
      <c r="B363" s="1" t="n">
        <v>45236</v>
      </c>
      <c r="C363" s="1" t="n">
        <v>45952</v>
      </c>
      <c r="D363" t="inlineStr">
        <is>
          <t>ÖREBRO LÄN</t>
        </is>
      </c>
      <c r="E363" t="inlineStr">
        <is>
          <t>LAXÅ</t>
        </is>
      </c>
      <c r="F363" t="inlineStr">
        <is>
          <t>Sveaskog</t>
        </is>
      </c>
      <c r="G363" t="n">
        <v>2</v>
      </c>
      <c r="H363" t="n">
        <v>1</v>
      </c>
      <c r="I363" t="n">
        <v>0</v>
      </c>
      <c r="J363" t="n">
        <v>1</v>
      </c>
      <c r="K363" t="n">
        <v>0</v>
      </c>
      <c r="L363" t="n">
        <v>0</v>
      </c>
      <c r="M363" t="n">
        <v>0</v>
      </c>
      <c r="N363" t="n">
        <v>0</v>
      </c>
      <c r="O363" t="n">
        <v>1</v>
      </c>
      <c r="P363" t="n">
        <v>0</v>
      </c>
      <c r="Q363" t="n">
        <v>1</v>
      </c>
      <c r="R363" s="2" t="inlineStr">
        <is>
          <t>Tretåig hackspett</t>
        </is>
      </c>
      <c r="S363">
        <f>HYPERLINK("https://klasma.github.io/Logging_1860/artfynd/A 54713-2023 artfynd.xlsx", "A 54713-2023")</f>
        <v/>
      </c>
      <c r="T363">
        <f>HYPERLINK("https://klasma.github.io/Logging_1860/kartor/A 54713-2023 karta.png", "A 54713-2023")</f>
        <v/>
      </c>
      <c r="V363">
        <f>HYPERLINK("https://klasma.github.io/Logging_1860/klagomål/A 54713-2023 FSC-klagomål.docx", "A 54713-2023")</f>
        <v/>
      </c>
      <c r="W363">
        <f>HYPERLINK("https://klasma.github.io/Logging_1860/klagomålsmail/A 54713-2023 FSC-klagomål mail.docx", "A 54713-2023")</f>
        <v/>
      </c>
      <c r="X363">
        <f>HYPERLINK("https://klasma.github.io/Logging_1860/tillsyn/A 54713-2023 tillsynsbegäran.docx", "A 54713-2023")</f>
        <v/>
      </c>
      <c r="Y363">
        <f>HYPERLINK("https://klasma.github.io/Logging_1860/tillsynsmail/A 54713-2023 tillsynsbegäran mail.docx", "A 54713-2023")</f>
        <v/>
      </c>
      <c r="Z363">
        <f>HYPERLINK("https://klasma.github.io/Logging_1860/fåglar/A 54713-2023 prioriterade fågelarter.docx", "A 54713-2023")</f>
        <v/>
      </c>
    </row>
    <row r="364" ht="15" customHeight="1">
      <c r="A364" t="inlineStr">
        <is>
          <t>A 31052-2025</t>
        </is>
      </c>
      <c r="B364" s="1" t="n">
        <v>45832.56153935185</v>
      </c>
      <c r="C364" s="1" t="n">
        <v>45952</v>
      </c>
      <c r="D364" t="inlineStr">
        <is>
          <t>ÖREBRO LÄN</t>
        </is>
      </c>
      <c r="E364" t="inlineStr">
        <is>
          <t>LINDESBERG</t>
        </is>
      </c>
      <c r="F364" t="inlineStr">
        <is>
          <t>Sveaskog</t>
        </is>
      </c>
      <c r="G364" t="n">
        <v>1.1</v>
      </c>
      <c r="H364" t="n">
        <v>1</v>
      </c>
      <c r="I364" t="n">
        <v>0</v>
      </c>
      <c r="J364" t="n">
        <v>0</v>
      </c>
      <c r="K364" t="n">
        <v>0</v>
      </c>
      <c r="L364" t="n">
        <v>0</v>
      </c>
      <c r="M364" t="n">
        <v>0</v>
      </c>
      <c r="N364" t="n">
        <v>0</v>
      </c>
      <c r="O364" t="n">
        <v>0</v>
      </c>
      <c r="P364" t="n">
        <v>0</v>
      </c>
      <c r="Q364" t="n">
        <v>1</v>
      </c>
      <c r="R364" s="2" t="inlineStr">
        <is>
          <t>Fläcknycklar</t>
        </is>
      </c>
      <c r="S364">
        <f>HYPERLINK("https://klasma.github.io/Logging_1885/artfynd/A 31052-2025 artfynd.xlsx", "A 31052-2025")</f>
        <v/>
      </c>
      <c r="T364">
        <f>HYPERLINK("https://klasma.github.io/Logging_1885/kartor/A 31052-2025 karta.png", "A 31052-2025")</f>
        <v/>
      </c>
      <c r="V364">
        <f>HYPERLINK("https://klasma.github.io/Logging_1885/klagomål/A 31052-2025 FSC-klagomål.docx", "A 31052-2025")</f>
        <v/>
      </c>
      <c r="W364">
        <f>HYPERLINK("https://klasma.github.io/Logging_1885/klagomålsmail/A 31052-2025 FSC-klagomål mail.docx", "A 31052-2025")</f>
        <v/>
      </c>
      <c r="X364">
        <f>HYPERLINK("https://klasma.github.io/Logging_1885/tillsyn/A 31052-2025 tillsynsbegäran.docx", "A 31052-2025")</f>
        <v/>
      </c>
      <c r="Y364">
        <f>HYPERLINK("https://klasma.github.io/Logging_1885/tillsynsmail/A 31052-2025 tillsynsbegäran mail.docx", "A 31052-2025")</f>
        <v/>
      </c>
    </row>
    <row r="365" ht="15" customHeight="1">
      <c r="A365" t="inlineStr">
        <is>
          <t>A 32204-2025</t>
        </is>
      </c>
      <c r="B365" s="1" t="n">
        <v>45835.58074074074</v>
      </c>
      <c r="C365" s="1" t="n">
        <v>45952</v>
      </c>
      <c r="D365" t="inlineStr">
        <is>
          <t>ÖREBRO LÄN</t>
        </is>
      </c>
      <c r="E365" t="inlineStr">
        <is>
          <t>ÖREBRO</t>
        </is>
      </c>
      <c r="G365" t="n">
        <v>3.4</v>
      </c>
      <c r="H365" t="n">
        <v>1</v>
      </c>
      <c r="I365" t="n">
        <v>0</v>
      </c>
      <c r="J365" t="n">
        <v>0</v>
      </c>
      <c r="K365" t="n">
        <v>0</v>
      </c>
      <c r="L365" t="n">
        <v>0</v>
      </c>
      <c r="M365" t="n">
        <v>0</v>
      </c>
      <c r="N365" t="n">
        <v>0</v>
      </c>
      <c r="O365" t="n">
        <v>0</v>
      </c>
      <c r="P365" t="n">
        <v>0</v>
      </c>
      <c r="Q365" t="n">
        <v>1</v>
      </c>
      <c r="R365" s="2" t="inlineStr">
        <is>
          <t>Tjäder</t>
        </is>
      </c>
      <c r="S365">
        <f>HYPERLINK("https://klasma.github.io/Logging_1880/artfynd/A 32204-2025 artfynd.xlsx", "A 32204-2025")</f>
        <v/>
      </c>
      <c r="T365">
        <f>HYPERLINK("https://klasma.github.io/Logging_1880/kartor/A 32204-2025 karta.png", "A 32204-2025")</f>
        <v/>
      </c>
      <c r="V365">
        <f>HYPERLINK("https://klasma.github.io/Logging_1880/klagomål/A 32204-2025 FSC-klagomål.docx", "A 32204-2025")</f>
        <v/>
      </c>
      <c r="W365">
        <f>HYPERLINK("https://klasma.github.io/Logging_1880/klagomålsmail/A 32204-2025 FSC-klagomål mail.docx", "A 32204-2025")</f>
        <v/>
      </c>
      <c r="X365">
        <f>HYPERLINK("https://klasma.github.io/Logging_1880/tillsyn/A 32204-2025 tillsynsbegäran.docx", "A 32204-2025")</f>
        <v/>
      </c>
      <c r="Y365">
        <f>HYPERLINK("https://klasma.github.io/Logging_1880/tillsynsmail/A 32204-2025 tillsynsbegäran mail.docx", "A 32204-2025")</f>
        <v/>
      </c>
      <c r="Z365">
        <f>HYPERLINK("https://klasma.github.io/Logging_1880/fåglar/A 32204-2025 prioriterade fågelarter.docx", "A 32204-2025")</f>
        <v/>
      </c>
    </row>
    <row r="366" ht="15" customHeight="1">
      <c r="A366" t="inlineStr">
        <is>
          <t>A 32226-2025</t>
        </is>
      </c>
      <c r="B366" s="1" t="n">
        <v>45835.59478009259</v>
      </c>
      <c r="C366" s="1" t="n">
        <v>45952</v>
      </c>
      <c r="D366" t="inlineStr">
        <is>
          <t>ÖREBRO LÄN</t>
        </is>
      </c>
      <c r="E366" t="inlineStr">
        <is>
          <t>ÖREBRO</t>
        </is>
      </c>
      <c r="G366" t="n">
        <v>1.2</v>
      </c>
      <c r="H366" t="n">
        <v>0</v>
      </c>
      <c r="I366" t="n">
        <v>0</v>
      </c>
      <c r="J366" t="n">
        <v>1</v>
      </c>
      <c r="K366" t="n">
        <v>0</v>
      </c>
      <c r="L366" t="n">
        <v>0</v>
      </c>
      <c r="M366" t="n">
        <v>0</v>
      </c>
      <c r="N366" t="n">
        <v>0</v>
      </c>
      <c r="O366" t="n">
        <v>1</v>
      </c>
      <c r="P366" t="n">
        <v>0</v>
      </c>
      <c r="Q366" t="n">
        <v>1</v>
      </c>
      <c r="R366" s="2" t="inlineStr">
        <is>
          <t>Dofttaggsvamp</t>
        </is>
      </c>
      <c r="S366">
        <f>HYPERLINK("https://klasma.github.io/Logging_1880/artfynd/A 32226-2025 artfynd.xlsx", "A 32226-2025")</f>
        <v/>
      </c>
      <c r="T366">
        <f>HYPERLINK("https://klasma.github.io/Logging_1880/kartor/A 32226-2025 karta.png", "A 32226-2025")</f>
        <v/>
      </c>
      <c r="V366">
        <f>HYPERLINK("https://klasma.github.io/Logging_1880/klagomål/A 32226-2025 FSC-klagomål.docx", "A 32226-2025")</f>
        <v/>
      </c>
      <c r="W366">
        <f>HYPERLINK("https://klasma.github.io/Logging_1880/klagomålsmail/A 32226-2025 FSC-klagomål mail.docx", "A 32226-2025")</f>
        <v/>
      </c>
      <c r="X366">
        <f>HYPERLINK("https://klasma.github.io/Logging_1880/tillsyn/A 32226-2025 tillsynsbegäran.docx", "A 32226-2025")</f>
        <v/>
      </c>
      <c r="Y366">
        <f>HYPERLINK("https://klasma.github.io/Logging_1880/tillsynsmail/A 32226-2025 tillsynsbegäran mail.docx", "A 32226-2025")</f>
        <v/>
      </c>
    </row>
    <row r="367" ht="15" customHeight="1">
      <c r="A367" t="inlineStr">
        <is>
          <t>A 290-2025</t>
        </is>
      </c>
      <c r="B367" s="1" t="n">
        <v>45656</v>
      </c>
      <c r="C367" s="1" t="n">
        <v>45952</v>
      </c>
      <c r="D367" t="inlineStr">
        <is>
          <t>ÖREBRO LÄN</t>
        </is>
      </c>
      <c r="E367" t="inlineStr">
        <is>
          <t>LEKEBERG</t>
        </is>
      </c>
      <c r="G367" t="n">
        <v>3.9</v>
      </c>
      <c r="H367" t="n">
        <v>0</v>
      </c>
      <c r="I367" t="n">
        <v>1</v>
      </c>
      <c r="J367" t="n">
        <v>0</v>
      </c>
      <c r="K367" t="n">
        <v>0</v>
      </c>
      <c r="L367" t="n">
        <v>0</v>
      </c>
      <c r="M367" t="n">
        <v>0</v>
      </c>
      <c r="N367" t="n">
        <v>0</v>
      </c>
      <c r="O367" t="n">
        <v>0</v>
      </c>
      <c r="P367" t="n">
        <v>0</v>
      </c>
      <c r="Q367" t="n">
        <v>1</v>
      </c>
      <c r="R367" s="2" t="inlineStr">
        <is>
          <t>Brandticka</t>
        </is>
      </c>
      <c r="S367">
        <f>HYPERLINK("https://klasma.github.io/Logging_1814/artfynd/A 290-2025 artfynd.xlsx", "A 290-2025")</f>
        <v/>
      </c>
      <c r="T367">
        <f>HYPERLINK("https://klasma.github.io/Logging_1814/kartor/A 290-2025 karta.png", "A 290-2025")</f>
        <v/>
      </c>
      <c r="V367">
        <f>HYPERLINK("https://klasma.github.io/Logging_1814/klagomål/A 290-2025 FSC-klagomål.docx", "A 290-2025")</f>
        <v/>
      </c>
      <c r="W367">
        <f>HYPERLINK("https://klasma.github.io/Logging_1814/klagomålsmail/A 290-2025 FSC-klagomål mail.docx", "A 290-2025")</f>
        <v/>
      </c>
      <c r="X367">
        <f>HYPERLINK("https://klasma.github.io/Logging_1814/tillsyn/A 290-2025 tillsynsbegäran.docx", "A 290-2025")</f>
        <v/>
      </c>
      <c r="Y367">
        <f>HYPERLINK("https://klasma.github.io/Logging_1814/tillsynsmail/A 290-2025 tillsynsbegäran mail.docx", "A 290-2025")</f>
        <v/>
      </c>
    </row>
    <row r="368" ht="15" customHeight="1">
      <c r="A368" t="inlineStr">
        <is>
          <t>A 32081-2025</t>
        </is>
      </c>
      <c r="B368" s="1" t="n">
        <v>45835.45203703704</v>
      </c>
      <c r="C368" s="1" t="n">
        <v>45952</v>
      </c>
      <c r="D368" t="inlineStr">
        <is>
          <t>ÖREBRO LÄN</t>
        </is>
      </c>
      <c r="E368" t="inlineStr">
        <is>
          <t>KARLSKOGA</t>
        </is>
      </c>
      <c r="F368" t="inlineStr">
        <is>
          <t>Kyrkan</t>
        </is>
      </c>
      <c r="G368" t="n">
        <v>4.3</v>
      </c>
      <c r="H368" t="n">
        <v>0</v>
      </c>
      <c r="I368" t="n">
        <v>1</v>
      </c>
      <c r="J368" t="n">
        <v>0</v>
      </c>
      <c r="K368" t="n">
        <v>0</v>
      </c>
      <c r="L368" t="n">
        <v>0</v>
      </c>
      <c r="M368" t="n">
        <v>0</v>
      </c>
      <c r="N368" t="n">
        <v>0</v>
      </c>
      <c r="O368" t="n">
        <v>0</v>
      </c>
      <c r="P368" t="n">
        <v>0</v>
      </c>
      <c r="Q368" t="n">
        <v>1</v>
      </c>
      <c r="R368" s="2" t="inlineStr">
        <is>
          <t>Smal svampklubba</t>
        </is>
      </c>
      <c r="S368">
        <f>HYPERLINK("https://klasma.github.io/Logging_1883/artfynd/A 32081-2025 artfynd.xlsx", "A 32081-2025")</f>
        <v/>
      </c>
      <c r="T368">
        <f>HYPERLINK("https://klasma.github.io/Logging_1883/kartor/A 32081-2025 karta.png", "A 32081-2025")</f>
        <v/>
      </c>
      <c r="V368">
        <f>HYPERLINK("https://klasma.github.io/Logging_1883/klagomål/A 32081-2025 FSC-klagomål.docx", "A 32081-2025")</f>
        <v/>
      </c>
      <c r="W368">
        <f>HYPERLINK("https://klasma.github.io/Logging_1883/klagomålsmail/A 32081-2025 FSC-klagomål mail.docx", "A 32081-2025")</f>
        <v/>
      </c>
      <c r="X368">
        <f>HYPERLINK("https://klasma.github.io/Logging_1883/tillsyn/A 32081-2025 tillsynsbegäran.docx", "A 32081-2025")</f>
        <v/>
      </c>
      <c r="Y368">
        <f>HYPERLINK("https://klasma.github.io/Logging_1883/tillsynsmail/A 32081-2025 tillsynsbegäran mail.docx", "A 32081-2025")</f>
        <v/>
      </c>
    </row>
    <row r="369" ht="15" customHeight="1">
      <c r="A369" t="inlineStr">
        <is>
          <t>A 32498-2025</t>
        </is>
      </c>
      <c r="B369" s="1" t="n">
        <v>45838.4570949074</v>
      </c>
      <c r="C369" s="1" t="n">
        <v>45952</v>
      </c>
      <c r="D369" t="inlineStr">
        <is>
          <t>ÖREBRO LÄN</t>
        </is>
      </c>
      <c r="E369" t="inlineStr">
        <is>
          <t>NORA</t>
        </is>
      </c>
      <c r="F369" t="inlineStr">
        <is>
          <t>Sveaskog</t>
        </is>
      </c>
      <c r="G369" t="n">
        <v>3</v>
      </c>
      <c r="H369" t="n">
        <v>1</v>
      </c>
      <c r="I369" t="n">
        <v>0</v>
      </c>
      <c r="J369" t="n">
        <v>0</v>
      </c>
      <c r="K369" t="n">
        <v>0</v>
      </c>
      <c r="L369" t="n">
        <v>0</v>
      </c>
      <c r="M369" t="n">
        <v>0</v>
      </c>
      <c r="N369" t="n">
        <v>0</v>
      </c>
      <c r="O369" t="n">
        <v>0</v>
      </c>
      <c r="P369" t="n">
        <v>0</v>
      </c>
      <c r="Q369" t="n">
        <v>1</v>
      </c>
      <c r="R369" s="2" t="inlineStr">
        <is>
          <t>Fläcknycklar</t>
        </is>
      </c>
      <c r="S369">
        <f>HYPERLINK("https://klasma.github.io/Logging_1884/artfynd/A 32498-2025 artfynd.xlsx", "A 32498-2025")</f>
        <v/>
      </c>
      <c r="T369">
        <f>HYPERLINK("https://klasma.github.io/Logging_1884/kartor/A 32498-2025 karta.png", "A 32498-2025")</f>
        <v/>
      </c>
      <c r="V369">
        <f>HYPERLINK("https://klasma.github.io/Logging_1884/klagomål/A 32498-2025 FSC-klagomål.docx", "A 32498-2025")</f>
        <v/>
      </c>
      <c r="W369">
        <f>HYPERLINK("https://klasma.github.io/Logging_1884/klagomålsmail/A 32498-2025 FSC-klagomål mail.docx", "A 32498-2025")</f>
        <v/>
      </c>
      <c r="X369">
        <f>HYPERLINK("https://klasma.github.io/Logging_1884/tillsyn/A 32498-2025 tillsynsbegäran.docx", "A 32498-2025")</f>
        <v/>
      </c>
      <c r="Y369">
        <f>HYPERLINK("https://klasma.github.io/Logging_1884/tillsynsmail/A 32498-2025 tillsynsbegäran mail.docx", "A 32498-2025")</f>
        <v/>
      </c>
    </row>
    <row r="370" ht="15" customHeight="1">
      <c r="A370" t="inlineStr">
        <is>
          <t>A 70466-2021</t>
        </is>
      </c>
      <c r="B370" s="1" t="n">
        <v>44536</v>
      </c>
      <c r="C370" s="1" t="n">
        <v>45952</v>
      </c>
      <c r="D370" t="inlineStr">
        <is>
          <t>ÖREBRO LÄN</t>
        </is>
      </c>
      <c r="E370" t="inlineStr">
        <is>
          <t>LINDESBERG</t>
        </is>
      </c>
      <c r="G370" t="n">
        <v>4.4</v>
      </c>
      <c r="H370" t="n">
        <v>1</v>
      </c>
      <c r="I370" t="n">
        <v>0</v>
      </c>
      <c r="J370" t="n">
        <v>0</v>
      </c>
      <c r="K370" t="n">
        <v>1</v>
      </c>
      <c r="L370" t="n">
        <v>0</v>
      </c>
      <c r="M370" t="n">
        <v>0</v>
      </c>
      <c r="N370" t="n">
        <v>0</v>
      </c>
      <c r="O370" t="n">
        <v>1</v>
      </c>
      <c r="P370" t="n">
        <v>1</v>
      </c>
      <c r="Q370" t="n">
        <v>1</v>
      </c>
      <c r="R370" s="2" t="inlineStr">
        <is>
          <t>Knärot</t>
        </is>
      </c>
      <c r="S370">
        <f>HYPERLINK("https://klasma.github.io/Logging_1885/artfynd/A 70466-2021 artfynd.xlsx", "A 70466-2021")</f>
        <v/>
      </c>
      <c r="T370">
        <f>HYPERLINK("https://klasma.github.io/Logging_1885/kartor/A 70466-2021 karta.png", "A 70466-2021")</f>
        <v/>
      </c>
      <c r="U370">
        <f>HYPERLINK("https://klasma.github.io/Logging_1885/knärot/A 70466-2021 karta knärot.png", "A 70466-2021")</f>
        <v/>
      </c>
      <c r="V370">
        <f>HYPERLINK("https://klasma.github.io/Logging_1885/klagomål/A 70466-2021 FSC-klagomål.docx", "A 70466-2021")</f>
        <v/>
      </c>
      <c r="W370">
        <f>HYPERLINK("https://klasma.github.io/Logging_1885/klagomålsmail/A 70466-2021 FSC-klagomål mail.docx", "A 70466-2021")</f>
        <v/>
      </c>
      <c r="X370">
        <f>HYPERLINK("https://klasma.github.io/Logging_1885/tillsyn/A 70466-2021 tillsynsbegäran.docx", "A 70466-2021")</f>
        <v/>
      </c>
      <c r="Y370">
        <f>HYPERLINK("https://klasma.github.io/Logging_1885/tillsynsmail/A 70466-2021 tillsynsbegäran mail.docx", "A 70466-2021")</f>
        <v/>
      </c>
    </row>
    <row r="371" ht="15" customHeight="1">
      <c r="A371" t="inlineStr">
        <is>
          <t>A 34371-2025</t>
        </is>
      </c>
      <c r="B371" s="1" t="n">
        <v>45846.51239583334</v>
      </c>
      <c r="C371" s="1" t="n">
        <v>45952</v>
      </c>
      <c r="D371" t="inlineStr">
        <is>
          <t>ÖREBRO LÄN</t>
        </is>
      </c>
      <c r="E371" t="inlineStr">
        <is>
          <t>LAXÅ</t>
        </is>
      </c>
      <c r="F371" t="inlineStr">
        <is>
          <t>Allmännings- och besparingsskogar</t>
        </is>
      </c>
      <c r="G371" t="n">
        <v>7.8</v>
      </c>
      <c r="H371" t="n">
        <v>0</v>
      </c>
      <c r="I371" t="n">
        <v>0</v>
      </c>
      <c r="J371" t="n">
        <v>1</v>
      </c>
      <c r="K371" t="n">
        <v>0</v>
      </c>
      <c r="L371" t="n">
        <v>0</v>
      </c>
      <c r="M371" t="n">
        <v>0</v>
      </c>
      <c r="N371" t="n">
        <v>0</v>
      </c>
      <c r="O371" t="n">
        <v>1</v>
      </c>
      <c r="P371" t="n">
        <v>0</v>
      </c>
      <c r="Q371" t="n">
        <v>1</v>
      </c>
      <c r="R371" s="2" t="inlineStr">
        <is>
          <t>Vedtrappmossa</t>
        </is>
      </c>
      <c r="S371">
        <f>HYPERLINK("https://klasma.github.io/Logging_1860/artfynd/A 34371-2025 artfynd.xlsx", "A 34371-2025")</f>
        <v/>
      </c>
      <c r="T371">
        <f>HYPERLINK("https://klasma.github.io/Logging_1860/kartor/A 34371-2025 karta.png", "A 34371-2025")</f>
        <v/>
      </c>
      <c r="V371">
        <f>HYPERLINK("https://klasma.github.io/Logging_1860/klagomål/A 34371-2025 FSC-klagomål.docx", "A 34371-2025")</f>
        <v/>
      </c>
      <c r="W371">
        <f>HYPERLINK("https://klasma.github.io/Logging_1860/klagomålsmail/A 34371-2025 FSC-klagomål mail.docx", "A 34371-2025")</f>
        <v/>
      </c>
      <c r="X371">
        <f>HYPERLINK("https://klasma.github.io/Logging_1860/tillsyn/A 34371-2025 tillsynsbegäran.docx", "A 34371-2025")</f>
        <v/>
      </c>
      <c r="Y371">
        <f>HYPERLINK("https://klasma.github.io/Logging_1860/tillsynsmail/A 34371-2025 tillsynsbegäran mail.docx", "A 34371-2025")</f>
        <v/>
      </c>
    </row>
    <row r="372" ht="15" customHeight="1">
      <c r="A372" t="inlineStr">
        <is>
          <t>A 34266-2025</t>
        </is>
      </c>
      <c r="B372" s="1" t="n">
        <v>45845.75751157408</v>
      </c>
      <c r="C372" s="1" t="n">
        <v>45952</v>
      </c>
      <c r="D372" t="inlineStr">
        <is>
          <t>ÖREBRO LÄN</t>
        </is>
      </c>
      <c r="E372" t="inlineStr">
        <is>
          <t>LINDESBERG</t>
        </is>
      </c>
      <c r="G372" t="n">
        <v>4.5</v>
      </c>
      <c r="H372" t="n">
        <v>0</v>
      </c>
      <c r="I372" t="n">
        <v>1</v>
      </c>
      <c r="J372" t="n">
        <v>0</v>
      </c>
      <c r="K372" t="n">
        <v>0</v>
      </c>
      <c r="L372" t="n">
        <v>0</v>
      </c>
      <c r="M372" t="n">
        <v>0</v>
      </c>
      <c r="N372" t="n">
        <v>0</v>
      </c>
      <c r="O372" t="n">
        <v>0</v>
      </c>
      <c r="P372" t="n">
        <v>0</v>
      </c>
      <c r="Q372" t="n">
        <v>1</v>
      </c>
      <c r="R372" s="2" t="inlineStr">
        <is>
          <t>Dropptaggsvamp</t>
        </is>
      </c>
      <c r="S372">
        <f>HYPERLINK("https://klasma.github.io/Logging_1885/artfynd/A 34266-2025 artfynd.xlsx", "A 34266-2025")</f>
        <v/>
      </c>
      <c r="T372">
        <f>HYPERLINK("https://klasma.github.io/Logging_1885/kartor/A 34266-2025 karta.png", "A 34266-2025")</f>
        <v/>
      </c>
      <c r="V372">
        <f>HYPERLINK("https://klasma.github.io/Logging_1885/klagomål/A 34266-2025 FSC-klagomål.docx", "A 34266-2025")</f>
        <v/>
      </c>
      <c r="W372">
        <f>HYPERLINK("https://klasma.github.io/Logging_1885/klagomålsmail/A 34266-2025 FSC-klagomål mail.docx", "A 34266-2025")</f>
        <v/>
      </c>
      <c r="X372">
        <f>HYPERLINK("https://klasma.github.io/Logging_1885/tillsyn/A 34266-2025 tillsynsbegäran.docx", "A 34266-2025")</f>
        <v/>
      </c>
      <c r="Y372">
        <f>HYPERLINK("https://klasma.github.io/Logging_1885/tillsynsmail/A 34266-2025 tillsynsbegäran mail.docx", "A 34266-2025")</f>
        <v/>
      </c>
    </row>
    <row r="373" ht="15" customHeight="1">
      <c r="A373" t="inlineStr">
        <is>
          <t>A 48284-2023</t>
        </is>
      </c>
      <c r="B373" s="1" t="n">
        <v>45205</v>
      </c>
      <c r="C373" s="1" t="n">
        <v>45952</v>
      </c>
      <c r="D373" t="inlineStr">
        <is>
          <t>ÖREBRO LÄN</t>
        </is>
      </c>
      <c r="E373" t="inlineStr">
        <is>
          <t>DEGERFORS</t>
        </is>
      </c>
      <c r="F373" t="inlineStr">
        <is>
          <t>Sveaskog</t>
        </is>
      </c>
      <c r="G373" t="n">
        <v>6.7</v>
      </c>
      <c r="H373" t="n">
        <v>1</v>
      </c>
      <c r="I373" t="n">
        <v>0</v>
      </c>
      <c r="J373" t="n">
        <v>1</v>
      </c>
      <c r="K373" t="n">
        <v>0</v>
      </c>
      <c r="L373" t="n">
        <v>0</v>
      </c>
      <c r="M373" t="n">
        <v>0</v>
      </c>
      <c r="N373" t="n">
        <v>0</v>
      </c>
      <c r="O373" t="n">
        <v>1</v>
      </c>
      <c r="P373" t="n">
        <v>0</v>
      </c>
      <c r="Q373" t="n">
        <v>1</v>
      </c>
      <c r="R373" s="2" t="inlineStr">
        <is>
          <t>Tretåig hackspett</t>
        </is>
      </c>
      <c r="S373">
        <f>HYPERLINK("https://klasma.github.io/Logging_1862/artfynd/A 48284-2023 artfynd.xlsx", "A 48284-2023")</f>
        <v/>
      </c>
      <c r="T373">
        <f>HYPERLINK("https://klasma.github.io/Logging_1862/kartor/A 48284-2023 karta.png", "A 48284-2023")</f>
        <v/>
      </c>
      <c r="V373">
        <f>HYPERLINK("https://klasma.github.io/Logging_1862/klagomål/A 48284-2023 FSC-klagomål.docx", "A 48284-2023")</f>
        <v/>
      </c>
      <c r="W373">
        <f>HYPERLINK("https://klasma.github.io/Logging_1862/klagomålsmail/A 48284-2023 FSC-klagomål mail.docx", "A 48284-2023")</f>
        <v/>
      </c>
      <c r="X373">
        <f>HYPERLINK("https://klasma.github.io/Logging_1862/tillsyn/A 48284-2023 tillsynsbegäran.docx", "A 48284-2023")</f>
        <v/>
      </c>
      <c r="Y373">
        <f>HYPERLINK("https://klasma.github.io/Logging_1862/tillsynsmail/A 48284-2023 tillsynsbegäran mail.docx", "A 48284-2023")</f>
        <v/>
      </c>
      <c r="Z373">
        <f>HYPERLINK("https://klasma.github.io/Logging_1862/fåglar/A 48284-2023 prioriterade fågelarter.docx", "A 48284-2023")</f>
        <v/>
      </c>
    </row>
    <row r="374" ht="15" customHeight="1">
      <c r="A374" t="inlineStr">
        <is>
          <t>A 34832-2025</t>
        </is>
      </c>
      <c r="B374" s="1" t="n">
        <v>45849.38643518519</v>
      </c>
      <c r="C374" s="1" t="n">
        <v>45952</v>
      </c>
      <c r="D374" t="inlineStr">
        <is>
          <t>ÖREBRO LÄN</t>
        </is>
      </c>
      <c r="E374" t="inlineStr">
        <is>
          <t>KARLSKOGA</t>
        </is>
      </c>
      <c r="F374" t="inlineStr">
        <is>
          <t>Sveaskog</t>
        </is>
      </c>
      <c r="G374" t="n">
        <v>6.4</v>
      </c>
      <c r="H374" t="n">
        <v>1</v>
      </c>
      <c r="I374" t="n">
        <v>0</v>
      </c>
      <c r="J374" t="n">
        <v>0</v>
      </c>
      <c r="K374" t="n">
        <v>0</v>
      </c>
      <c r="L374" t="n">
        <v>0</v>
      </c>
      <c r="M374" t="n">
        <v>0</v>
      </c>
      <c r="N374" t="n">
        <v>0</v>
      </c>
      <c r="O374" t="n">
        <v>0</v>
      </c>
      <c r="P374" t="n">
        <v>0</v>
      </c>
      <c r="Q374" t="n">
        <v>1</v>
      </c>
      <c r="R374" s="2" t="inlineStr">
        <is>
          <t>Fläcknycklar</t>
        </is>
      </c>
      <c r="S374">
        <f>HYPERLINK("https://klasma.github.io/Logging_1883/artfynd/A 34832-2025 artfynd.xlsx", "A 34832-2025")</f>
        <v/>
      </c>
      <c r="T374">
        <f>HYPERLINK("https://klasma.github.io/Logging_1883/kartor/A 34832-2025 karta.png", "A 34832-2025")</f>
        <v/>
      </c>
      <c r="V374">
        <f>HYPERLINK("https://klasma.github.io/Logging_1883/klagomål/A 34832-2025 FSC-klagomål.docx", "A 34832-2025")</f>
        <v/>
      </c>
      <c r="W374">
        <f>HYPERLINK("https://klasma.github.io/Logging_1883/klagomålsmail/A 34832-2025 FSC-klagomål mail.docx", "A 34832-2025")</f>
        <v/>
      </c>
      <c r="X374">
        <f>HYPERLINK("https://klasma.github.io/Logging_1883/tillsyn/A 34832-2025 tillsynsbegäran.docx", "A 34832-2025")</f>
        <v/>
      </c>
      <c r="Y374">
        <f>HYPERLINK("https://klasma.github.io/Logging_1883/tillsynsmail/A 34832-2025 tillsynsbegäran mail.docx", "A 34832-2025")</f>
        <v/>
      </c>
    </row>
    <row r="375" ht="15" customHeight="1">
      <c r="A375" t="inlineStr">
        <is>
          <t>A 34826-2025</t>
        </is>
      </c>
      <c r="B375" s="1" t="n">
        <v>45849.38326388889</v>
      </c>
      <c r="C375" s="1" t="n">
        <v>45952</v>
      </c>
      <c r="D375" t="inlineStr">
        <is>
          <t>ÖREBRO LÄN</t>
        </is>
      </c>
      <c r="E375" t="inlineStr">
        <is>
          <t>NORA</t>
        </is>
      </c>
      <c r="F375" t="inlineStr">
        <is>
          <t>Sveaskog</t>
        </is>
      </c>
      <c r="G375" t="n">
        <v>4.6</v>
      </c>
      <c r="H375" t="n">
        <v>1</v>
      </c>
      <c r="I375" t="n">
        <v>0</v>
      </c>
      <c r="J375" t="n">
        <v>0</v>
      </c>
      <c r="K375" t="n">
        <v>0</v>
      </c>
      <c r="L375" t="n">
        <v>0</v>
      </c>
      <c r="M375" t="n">
        <v>0</v>
      </c>
      <c r="N375" t="n">
        <v>0</v>
      </c>
      <c r="O375" t="n">
        <v>0</v>
      </c>
      <c r="P375" t="n">
        <v>0</v>
      </c>
      <c r="Q375" t="n">
        <v>1</v>
      </c>
      <c r="R375" s="2" t="inlineStr">
        <is>
          <t>Fläcknycklar</t>
        </is>
      </c>
      <c r="S375">
        <f>HYPERLINK("https://klasma.github.io/Logging_1884/artfynd/A 34826-2025 artfynd.xlsx", "A 34826-2025")</f>
        <v/>
      </c>
      <c r="T375">
        <f>HYPERLINK("https://klasma.github.io/Logging_1884/kartor/A 34826-2025 karta.png", "A 34826-2025")</f>
        <v/>
      </c>
      <c r="V375">
        <f>HYPERLINK("https://klasma.github.io/Logging_1884/klagomål/A 34826-2025 FSC-klagomål.docx", "A 34826-2025")</f>
        <v/>
      </c>
      <c r="W375">
        <f>HYPERLINK("https://klasma.github.io/Logging_1884/klagomålsmail/A 34826-2025 FSC-klagomål mail.docx", "A 34826-2025")</f>
        <v/>
      </c>
      <c r="X375">
        <f>HYPERLINK("https://klasma.github.io/Logging_1884/tillsyn/A 34826-2025 tillsynsbegäran.docx", "A 34826-2025")</f>
        <v/>
      </c>
      <c r="Y375">
        <f>HYPERLINK("https://klasma.github.io/Logging_1884/tillsynsmail/A 34826-2025 tillsynsbegäran mail.docx", "A 34826-2025")</f>
        <v/>
      </c>
    </row>
    <row r="376" ht="15" customHeight="1">
      <c r="A376" t="inlineStr">
        <is>
          <t>A 34834-2025</t>
        </is>
      </c>
      <c r="B376" s="1" t="n">
        <v>45849.38751157407</v>
      </c>
      <c r="C376" s="1" t="n">
        <v>45952</v>
      </c>
      <c r="D376" t="inlineStr">
        <is>
          <t>ÖREBRO LÄN</t>
        </is>
      </c>
      <c r="E376" t="inlineStr">
        <is>
          <t>KARLSKOGA</t>
        </is>
      </c>
      <c r="F376" t="inlineStr">
        <is>
          <t>Sveaskog</t>
        </is>
      </c>
      <c r="G376" t="n">
        <v>0.8</v>
      </c>
      <c r="H376" t="n">
        <v>1</v>
      </c>
      <c r="I376" t="n">
        <v>0</v>
      </c>
      <c r="J376" t="n">
        <v>1</v>
      </c>
      <c r="K376" t="n">
        <v>0</v>
      </c>
      <c r="L376" t="n">
        <v>0</v>
      </c>
      <c r="M376" t="n">
        <v>0</v>
      </c>
      <c r="N376" t="n">
        <v>0</v>
      </c>
      <c r="O376" t="n">
        <v>1</v>
      </c>
      <c r="P376" t="n">
        <v>0</v>
      </c>
      <c r="Q376" t="n">
        <v>1</v>
      </c>
      <c r="R376" s="2" t="inlineStr">
        <is>
          <t>Talltita</t>
        </is>
      </c>
      <c r="S376">
        <f>HYPERLINK("https://klasma.github.io/Logging_1883/artfynd/A 34834-2025 artfynd.xlsx", "A 34834-2025")</f>
        <v/>
      </c>
      <c r="T376">
        <f>HYPERLINK("https://klasma.github.io/Logging_1883/kartor/A 34834-2025 karta.png", "A 34834-2025")</f>
        <v/>
      </c>
      <c r="V376">
        <f>HYPERLINK("https://klasma.github.io/Logging_1883/klagomål/A 34834-2025 FSC-klagomål.docx", "A 34834-2025")</f>
        <v/>
      </c>
      <c r="W376">
        <f>HYPERLINK("https://klasma.github.io/Logging_1883/klagomålsmail/A 34834-2025 FSC-klagomål mail.docx", "A 34834-2025")</f>
        <v/>
      </c>
      <c r="X376">
        <f>HYPERLINK("https://klasma.github.io/Logging_1883/tillsyn/A 34834-2025 tillsynsbegäran.docx", "A 34834-2025")</f>
        <v/>
      </c>
      <c r="Y376">
        <f>HYPERLINK("https://klasma.github.io/Logging_1883/tillsynsmail/A 34834-2025 tillsynsbegäran mail.docx", "A 34834-2025")</f>
        <v/>
      </c>
      <c r="Z376">
        <f>HYPERLINK("https://klasma.github.io/Logging_1883/fåglar/A 34834-2025 prioriterade fågelarter.docx", "A 34834-2025")</f>
        <v/>
      </c>
    </row>
    <row r="377" ht="15" customHeight="1">
      <c r="A377" t="inlineStr">
        <is>
          <t>A 36669-2024</t>
        </is>
      </c>
      <c r="B377" s="1" t="n">
        <v>45537.64484953704</v>
      </c>
      <c r="C377" s="1" t="n">
        <v>45952</v>
      </c>
      <c r="D377" t="inlineStr">
        <is>
          <t>ÖREBRO LÄN</t>
        </is>
      </c>
      <c r="E377" t="inlineStr">
        <is>
          <t>LINDESBERG</t>
        </is>
      </c>
      <c r="F377" t="inlineStr">
        <is>
          <t>Sveaskog</t>
        </is>
      </c>
      <c r="G377" t="n">
        <v>2</v>
      </c>
      <c r="H377" t="n">
        <v>0</v>
      </c>
      <c r="I377" t="n">
        <v>0</v>
      </c>
      <c r="J377" t="n">
        <v>1</v>
      </c>
      <c r="K377" t="n">
        <v>0</v>
      </c>
      <c r="L377" t="n">
        <v>0</v>
      </c>
      <c r="M377" t="n">
        <v>0</v>
      </c>
      <c r="N377" t="n">
        <v>0</v>
      </c>
      <c r="O377" t="n">
        <v>1</v>
      </c>
      <c r="P377" t="n">
        <v>0</v>
      </c>
      <c r="Q377" t="n">
        <v>1</v>
      </c>
      <c r="R377" s="2" t="inlineStr">
        <is>
          <t>Garnlav</t>
        </is>
      </c>
      <c r="S377">
        <f>HYPERLINK("https://klasma.github.io/Logging_1885/artfynd/A 36669-2024 artfynd.xlsx", "A 36669-2024")</f>
        <v/>
      </c>
      <c r="T377">
        <f>HYPERLINK("https://klasma.github.io/Logging_1885/kartor/A 36669-2024 karta.png", "A 36669-2024")</f>
        <v/>
      </c>
      <c r="V377">
        <f>HYPERLINK("https://klasma.github.io/Logging_1885/klagomål/A 36669-2024 FSC-klagomål.docx", "A 36669-2024")</f>
        <v/>
      </c>
      <c r="W377">
        <f>HYPERLINK("https://klasma.github.io/Logging_1885/klagomålsmail/A 36669-2024 FSC-klagomål mail.docx", "A 36669-2024")</f>
        <v/>
      </c>
      <c r="X377">
        <f>HYPERLINK("https://klasma.github.io/Logging_1885/tillsyn/A 36669-2024 tillsynsbegäran.docx", "A 36669-2024")</f>
        <v/>
      </c>
      <c r="Y377">
        <f>HYPERLINK("https://klasma.github.io/Logging_1885/tillsynsmail/A 36669-2024 tillsynsbegäran mail.docx", "A 36669-2024")</f>
        <v/>
      </c>
    </row>
    <row r="378" ht="15" customHeight="1">
      <c r="A378" t="inlineStr">
        <is>
          <t>A 10622-2023</t>
        </is>
      </c>
      <c r="B378" s="1" t="n">
        <v>44988</v>
      </c>
      <c r="C378" s="1" t="n">
        <v>45952</v>
      </c>
      <c r="D378" t="inlineStr">
        <is>
          <t>ÖREBRO LÄN</t>
        </is>
      </c>
      <c r="E378" t="inlineStr">
        <is>
          <t>LAXÅ</t>
        </is>
      </c>
      <c r="F378" t="inlineStr">
        <is>
          <t>Sveaskog</t>
        </is>
      </c>
      <c r="G378" t="n">
        <v>1.7</v>
      </c>
      <c r="H378" t="n">
        <v>0</v>
      </c>
      <c r="I378" t="n">
        <v>0</v>
      </c>
      <c r="J378" t="n">
        <v>1</v>
      </c>
      <c r="K378" t="n">
        <v>0</v>
      </c>
      <c r="L378" t="n">
        <v>0</v>
      </c>
      <c r="M378" t="n">
        <v>0</v>
      </c>
      <c r="N378" t="n">
        <v>0</v>
      </c>
      <c r="O378" t="n">
        <v>1</v>
      </c>
      <c r="P378" t="n">
        <v>0</v>
      </c>
      <c r="Q378" t="n">
        <v>1</v>
      </c>
      <c r="R378" s="2" t="inlineStr">
        <is>
          <t>Gullklöver</t>
        </is>
      </c>
      <c r="S378">
        <f>HYPERLINK("https://klasma.github.io/Logging_1860/artfynd/A 10622-2023 artfynd.xlsx", "A 10622-2023")</f>
        <v/>
      </c>
      <c r="T378">
        <f>HYPERLINK("https://klasma.github.io/Logging_1860/kartor/A 10622-2023 karta.png", "A 10622-2023")</f>
        <v/>
      </c>
      <c r="V378">
        <f>HYPERLINK("https://klasma.github.io/Logging_1860/klagomål/A 10622-2023 FSC-klagomål.docx", "A 10622-2023")</f>
        <v/>
      </c>
      <c r="W378">
        <f>HYPERLINK("https://klasma.github.io/Logging_1860/klagomålsmail/A 10622-2023 FSC-klagomål mail.docx", "A 10622-2023")</f>
        <v/>
      </c>
      <c r="X378">
        <f>HYPERLINK("https://klasma.github.io/Logging_1860/tillsyn/A 10622-2023 tillsynsbegäran.docx", "A 10622-2023")</f>
        <v/>
      </c>
      <c r="Y378">
        <f>HYPERLINK("https://klasma.github.io/Logging_1860/tillsynsmail/A 10622-2023 tillsynsbegäran mail.docx", "A 10622-2023")</f>
        <v/>
      </c>
    </row>
    <row r="379" ht="15" customHeight="1">
      <c r="A379" t="inlineStr">
        <is>
          <t>A 52639-2023</t>
        </is>
      </c>
      <c r="B379" s="1" t="n">
        <v>45219</v>
      </c>
      <c r="C379" s="1" t="n">
        <v>45952</v>
      </c>
      <c r="D379" t="inlineStr">
        <is>
          <t>ÖREBRO LÄN</t>
        </is>
      </c>
      <c r="E379" t="inlineStr">
        <is>
          <t>NORA</t>
        </is>
      </c>
      <c r="F379" t="inlineStr">
        <is>
          <t>Kommuner</t>
        </is>
      </c>
      <c r="G379" t="n">
        <v>7.3</v>
      </c>
      <c r="H379" t="n">
        <v>1</v>
      </c>
      <c r="I379" t="n">
        <v>0</v>
      </c>
      <c r="J379" t="n">
        <v>1</v>
      </c>
      <c r="K379" t="n">
        <v>0</v>
      </c>
      <c r="L379" t="n">
        <v>0</v>
      </c>
      <c r="M379" t="n">
        <v>0</v>
      </c>
      <c r="N379" t="n">
        <v>0</v>
      </c>
      <c r="O379" t="n">
        <v>1</v>
      </c>
      <c r="P379" t="n">
        <v>0</v>
      </c>
      <c r="Q379" t="n">
        <v>1</v>
      </c>
      <c r="R379" s="2" t="inlineStr">
        <is>
          <t>Grönsångare</t>
        </is>
      </c>
      <c r="S379">
        <f>HYPERLINK("https://klasma.github.io/Logging_1884/artfynd/A 52639-2023 artfynd.xlsx", "A 52639-2023")</f>
        <v/>
      </c>
      <c r="T379">
        <f>HYPERLINK("https://klasma.github.io/Logging_1884/kartor/A 52639-2023 karta.png", "A 52639-2023")</f>
        <v/>
      </c>
      <c r="V379">
        <f>HYPERLINK("https://klasma.github.io/Logging_1884/klagomål/A 52639-2023 FSC-klagomål.docx", "A 52639-2023")</f>
        <v/>
      </c>
      <c r="W379">
        <f>HYPERLINK("https://klasma.github.io/Logging_1884/klagomålsmail/A 52639-2023 FSC-klagomål mail.docx", "A 52639-2023")</f>
        <v/>
      </c>
      <c r="X379">
        <f>HYPERLINK("https://klasma.github.io/Logging_1884/tillsyn/A 52639-2023 tillsynsbegäran.docx", "A 52639-2023")</f>
        <v/>
      </c>
      <c r="Y379">
        <f>HYPERLINK("https://klasma.github.io/Logging_1884/tillsynsmail/A 52639-2023 tillsynsbegäran mail.docx", "A 52639-2023")</f>
        <v/>
      </c>
      <c r="Z379">
        <f>HYPERLINK("https://klasma.github.io/Logging_1884/fåglar/A 52639-2023 prioriterade fågelarter.docx", "A 52639-2023")</f>
        <v/>
      </c>
    </row>
    <row r="380" ht="15" customHeight="1">
      <c r="A380" t="inlineStr">
        <is>
          <t>A 16063-2023</t>
        </is>
      </c>
      <c r="B380" s="1" t="n">
        <v>45027</v>
      </c>
      <c r="C380" s="1" t="n">
        <v>45952</v>
      </c>
      <c r="D380" t="inlineStr">
        <is>
          <t>ÖREBRO LÄN</t>
        </is>
      </c>
      <c r="E380" t="inlineStr">
        <is>
          <t>NORA</t>
        </is>
      </c>
      <c r="G380" t="n">
        <v>7.3</v>
      </c>
      <c r="H380" t="n">
        <v>0</v>
      </c>
      <c r="I380" t="n">
        <v>0</v>
      </c>
      <c r="J380" t="n">
        <v>1</v>
      </c>
      <c r="K380" t="n">
        <v>0</v>
      </c>
      <c r="L380" t="n">
        <v>0</v>
      </c>
      <c r="M380" t="n">
        <v>0</v>
      </c>
      <c r="N380" t="n">
        <v>0</v>
      </c>
      <c r="O380" t="n">
        <v>1</v>
      </c>
      <c r="P380" t="n">
        <v>0</v>
      </c>
      <c r="Q380" t="n">
        <v>1</v>
      </c>
      <c r="R380" s="2" t="inlineStr">
        <is>
          <t>Violettkantad guldvinge</t>
        </is>
      </c>
      <c r="S380">
        <f>HYPERLINK("https://klasma.github.io/Logging_1884/artfynd/A 16063-2023 artfynd.xlsx", "A 16063-2023")</f>
        <v/>
      </c>
      <c r="T380">
        <f>HYPERLINK("https://klasma.github.io/Logging_1884/kartor/A 16063-2023 karta.png", "A 16063-2023")</f>
        <v/>
      </c>
      <c r="V380">
        <f>HYPERLINK("https://klasma.github.io/Logging_1884/klagomål/A 16063-2023 FSC-klagomål.docx", "A 16063-2023")</f>
        <v/>
      </c>
      <c r="W380">
        <f>HYPERLINK("https://klasma.github.io/Logging_1884/klagomålsmail/A 16063-2023 FSC-klagomål mail.docx", "A 16063-2023")</f>
        <v/>
      </c>
      <c r="X380">
        <f>HYPERLINK("https://klasma.github.io/Logging_1884/tillsyn/A 16063-2023 tillsynsbegäran.docx", "A 16063-2023")</f>
        <v/>
      </c>
      <c r="Y380">
        <f>HYPERLINK("https://klasma.github.io/Logging_1884/tillsynsmail/A 16063-2023 tillsynsbegäran mail.docx", "A 16063-2023")</f>
        <v/>
      </c>
    </row>
    <row r="381" ht="15" customHeight="1">
      <c r="A381" t="inlineStr">
        <is>
          <t>A 33136-2025</t>
        </is>
      </c>
      <c r="B381" s="1" t="n">
        <v>45840</v>
      </c>
      <c r="C381" s="1" t="n">
        <v>45952</v>
      </c>
      <c r="D381" t="inlineStr">
        <is>
          <t>ÖREBRO LÄN</t>
        </is>
      </c>
      <c r="E381" t="inlineStr">
        <is>
          <t>NORA</t>
        </is>
      </c>
      <c r="F381" t="inlineStr">
        <is>
          <t>Sveaskog</t>
        </is>
      </c>
      <c r="G381" t="n">
        <v>4.2</v>
      </c>
      <c r="H381" t="n">
        <v>0</v>
      </c>
      <c r="I381" t="n">
        <v>0</v>
      </c>
      <c r="J381" t="n">
        <v>1</v>
      </c>
      <c r="K381" t="n">
        <v>0</v>
      </c>
      <c r="L381" t="n">
        <v>0</v>
      </c>
      <c r="M381" t="n">
        <v>0</v>
      </c>
      <c r="N381" t="n">
        <v>0</v>
      </c>
      <c r="O381" t="n">
        <v>1</v>
      </c>
      <c r="P381" t="n">
        <v>0</v>
      </c>
      <c r="Q381" t="n">
        <v>1</v>
      </c>
      <c r="R381" s="2" t="inlineStr">
        <is>
          <t>Tallticka</t>
        </is>
      </c>
      <c r="S381">
        <f>HYPERLINK("https://klasma.github.io/Logging_1884/artfynd/A 33136-2025 artfynd.xlsx", "A 33136-2025")</f>
        <v/>
      </c>
      <c r="T381">
        <f>HYPERLINK("https://klasma.github.io/Logging_1884/kartor/A 33136-2025 karta.png", "A 33136-2025")</f>
        <v/>
      </c>
      <c r="V381">
        <f>HYPERLINK("https://klasma.github.io/Logging_1884/klagomål/A 33136-2025 FSC-klagomål.docx", "A 33136-2025")</f>
        <v/>
      </c>
      <c r="W381">
        <f>HYPERLINK("https://klasma.github.io/Logging_1884/klagomålsmail/A 33136-2025 FSC-klagomål mail.docx", "A 33136-2025")</f>
        <v/>
      </c>
      <c r="X381">
        <f>HYPERLINK("https://klasma.github.io/Logging_1884/tillsyn/A 33136-2025 tillsynsbegäran.docx", "A 33136-2025")</f>
        <v/>
      </c>
      <c r="Y381">
        <f>HYPERLINK("https://klasma.github.io/Logging_1884/tillsynsmail/A 33136-2025 tillsynsbegäran mail.docx", "A 33136-2025")</f>
        <v/>
      </c>
    </row>
    <row r="382" ht="15" customHeight="1">
      <c r="A382" t="inlineStr">
        <is>
          <t>A 43148-2025</t>
        </is>
      </c>
      <c r="B382" s="1" t="n">
        <v>45910.32248842593</v>
      </c>
      <c r="C382" s="1" t="n">
        <v>45952</v>
      </c>
      <c r="D382" t="inlineStr">
        <is>
          <t>ÖREBRO LÄN</t>
        </is>
      </c>
      <c r="E382" t="inlineStr">
        <is>
          <t>NORA</t>
        </is>
      </c>
      <c r="G382" t="n">
        <v>5.5</v>
      </c>
      <c r="H382" t="n">
        <v>1</v>
      </c>
      <c r="I382" t="n">
        <v>1</v>
      </c>
      <c r="J382" t="n">
        <v>0</v>
      </c>
      <c r="K382" t="n">
        <v>0</v>
      </c>
      <c r="L382" t="n">
        <v>0</v>
      </c>
      <c r="M382" t="n">
        <v>0</v>
      </c>
      <c r="N382" t="n">
        <v>0</v>
      </c>
      <c r="O382" t="n">
        <v>0</v>
      </c>
      <c r="P382" t="n">
        <v>0</v>
      </c>
      <c r="Q382" t="n">
        <v>1</v>
      </c>
      <c r="R382" s="2" t="inlineStr">
        <is>
          <t>Purpurknipprot</t>
        </is>
      </c>
      <c r="S382">
        <f>HYPERLINK("https://klasma.github.io/Logging_1884/artfynd/A 43148-2025 artfynd.xlsx", "A 43148-2025")</f>
        <v/>
      </c>
      <c r="T382">
        <f>HYPERLINK("https://klasma.github.io/Logging_1884/kartor/A 43148-2025 karta.png", "A 43148-2025")</f>
        <v/>
      </c>
      <c r="V382">
        <f>HYPERLINK("https://klasma.github.io/Logging_1884/klagomål/A 43148-2025 FSC-klagomål.docx", "A 43148-2025")</f>
        <v/>
      </c>
      <c r="W382">
        <f>HYPERLINK("https://klasma.github.io/Logging_1884/klagomålsmail/A 43148-2025 FSC-klagomål mail.docx", "A 43148-2025")</f>
        <v/>
      </c>
      <c r="X382">
        <f>HYPERLINK("https://klasma.github.io/Logging_1884/tillsyn/A 43148-2025 tillsynsbegäran.docx", "A 43148-2025")</f>
        <v/>
      </c>
      <c r="Y382">
        <f>HYPERLINK("https://klasma.github.io/Logging_1884/tillsynsmail/A 43148-2025 tillsynsbegäran mail.docx", "A 43148-2025")</f>
        <v/>
      </c>
    </row>
    <row r="383" ht="15" customHeight="1">
      <c r="A383" t="inlineStr">
        <is>
          <t>A 58206-2023</t>
        </is>
      </c>
      <c r="B383" s="1" t="n">
        <v>45250</v>
      </c>
      <c r="C383" s="1" t="n">
        <v>45952</v>
      </c>
      <c r="D383" t="inlineStr">
        <is>
          <t>ÖREBRO LÄN</t>
        </is>
      </c>
      <c r="E383" t="inlineStr">
        <is>
          <t>LINDESBERG</t>
        </is>
      </c>
      <c r="F383" t="inlineStr">
        <is>
          <t>Sveaskog</t>
        </is>
      </c>
      <c r="G383" t="n">
        <v>1.4</v>
      </c>
      <c r="H383" t="n">
        <v>1</v>
      </c>
      <c r="I383" t="n">
        <v>0</v>
      </c>
      <c r="J383" t="n">
        <v>0</v>
      </c>
      <c r="K383" t="n">
        <v>0</v>
      </c>
      <c r="L383" t="n">
        <v>0</v>
      </c>
      <c r="M383" t="n">
        <v>0</v>
      </c>
      <c r="N383" t="n">
        <v>0</v>
      </c>
      <c r="O383" t="n">
        <v>0</v>
      </c>
      <c r="P383" t="n">
        <v>0</v>
      </c>
      <c r="Q383" t="n">
        <v>1</v>
      </c>
      <c r="R383" s="2" t="inlineStr">
        <is>
          <t>Fläcknycklar</t>
        </is>
      </c>
      <c r="S383">
        <f>HYPERLINK("https://klasma.github.io/Logging_1885/artfynd/A 58206-2023 artfynd.xlsx", "A 58206-2023")</f>
        <v/>
      </c>
      <c r="T383">
        <f>HYPERLINK("https://klasma.github.io/Logging_1885/kartor/A 58206-2023 karta.png", "A 58206-2023")</f>
        <v/>
      </c>
      <c r="V383">
        <f>HYPERLINK("https://klasma.github.io/Logging_1885/klagomål/A 58206-2023 FSC-klagomål.docx", "A 58206-2023")</f>
        <v/>
      </c>
      <c r="W383">
        <f>HYPERLINK("https://klasma.github.io/Logging_1885/klagomålsmail/A 58206-2023 FSC-klagomål mail.docx", "A 58206-2023")</f>
        <v/>
      </c>
      <c r="X383">
        <f>HYPERLINK("https://klasma.github.io/Logging_1885/tillsyn/A 58206-2023 tillsynsbegäran.docx", "A 58206-2023")</f>
        <v/>
      </c>
      <c r="Y383">
        <f>HYPERLINK("https://klasma.github.io/Logging_1885/tillsynsmail/A 58206-2023 tillsynsbegäran mail.docx", "A 58206-2023")</f>
        <v/>
      </c>
    </row>
    <row r="384" ht="15" customHeight="1">
      <c r="A384" t="inlineStr">
        <is>
          <t>A 47915-2024</t>
        </is>
      </c>
      <c r="B384" s="1" t="n">
        <v>45589.34315972222</v>
      </c>
      <c r="C384" s="1" t="n">
        <v>45952</v>
      </c>
      <c r="D384" t="inlineStr">
        <is>
          <t>ÖREBRO LÄN</t>
        </is>
      </c>
      <c r="E384" t="inlineStr">
        <is>
          <t>DEGERFORS</t>
        </is>
      </c>
      <c r="F384" t="inlineStr">
        <is>
          <t>Sveaskog</t>
        </is>
      </c>
      <c r="G384" t="n">
        <v>5.8</v>
      </c>
      <c r="H384" t="n">
        <v>1</v>
      </c>
      <c r="I384" t="n">
        <v>0</v>
      </c>
      <c r="J384" t="n">
        <v>0</v>
      </c>
      <c r="K384" t="n">
        <v>0</v>
      </c>
      <c r="L384" t="n">
        <v>0</v>
      </c>
      <c r="M384" t="n">
        <v>0</v>
      </c>
      <c r="N384" t="n">
        <v>0</v>
      </c>
      <c r="O384" t="n">
        <v>0</v>
      </c>
      <c r="P384" t="n">
        <v>0</v>
      </c>
      <c r="Q384" t="n">
        <v>1</v>
      </c>
      <c r="R384" s="2" t="inlineStr">
        <is>
          <t>Mattlummer</t>
        </is>
      </c>
      <c r="S384">
        <f>HYPERLINK("https://klasma.github.io/Logging_1862/artfynd/A 47915-2024 artfynd.xlsx", "A 47915-2024")</f>
        <v/>
      </c>
      <c r="T384">
        <f>HYPERLINK("https://klasma.github.io/Logging_1862/kartor/A 47915-2024 karta.png", "A 47915-2024")</f>
        <v/>
      </c>
      <c r="V384">
        <f>HYPERLINK("https://klasma.github.io/Logging_1862/klagomål/A 47915-2024 FSC-klagomål.docx", "A 47915-2024")</f>
        <v/>
      </c>
      <c r="W384">
        <f>HYPERLINK("https://klasma.github.io/Logging_1862/klagomålsmail/A 47915-2024 FSC-klagomål mail.docx", "A 47915-2024")</f>
        <v/>
      </c>
      <c r="X384">
        <f>HYPERLINK("https://klasma.github.io/Logging_1862/tillsyn/A 47915-2024 tillsynsbegäran.docx", "A 47915-2024")</f>
        <v/>
      </c>
      <c r="Y384">
        <f>HYPERLINK("https://klasma.github.io/Logging_1862/tillsynsmail/A 47915-2024 tillsynsbegäran mail.docx", "A 47915-2024")</f>
        <v/>
      </c>
    </row>
    <row r="385" ht="15" customHeight="1">
      <c r="A385" t="inlineStr">
        <is>
          <t>A 36694-2025</t>
        </is>
      </c>
      <c r="B385" s="1" t="n">
        <v>45873.43710648148</v>
      </c>
      <c r="C385" s="1" t="n">
        <v>45952</v>
      </c>
      <c r="D385" t="inlineStr">
        <is>
          <t>ÖREBRO LÄN</t>
        </is>
      </c>
      <c r="E385" t="inlineStr">
        <is>
          <t>LAXÅ</t>
        </is>
      </c>
      <c r="F385" t="inlineStr">
        <is>
          <t>Sveaskog</t>
        </is>
      </c>
      <c r="G385" t="n">
        <v>5.4</v>
      </c>
      <c r="H385" t="n">
        <v>1</v>
      </c>
      <c r="I385" t="n">
        <v>0</v>
      </c>
      <c r="J385" t="n">
        <v>0</v>
      </c>
      <c r="K385" t="n">
        <v>0</v>
      </c>
      <c r="L385" t="n">
        <v>0</v>
      </c>
      <c r="M385" t="n">
        <v>0</v>
      </c>
      <c r="N385" t="n">
        <v>0</v>
      </c>
      <c r="O385" t="n">
        <v>0</v>
      </c>
      <c r="P385" t="n">
        <v>0</v>
      </c>
      <c r="Q385" t="n">
        <v>1</v>
      </c>
      <c r="R385" s="2" t="inlineStr">
        <is>
          <t>Tjäder</t>
        </is>
      </c>
      <c r="S385">
        <f>HYPERLINK("https://klasma.github.io/Logging_1860/artfynd/A 36694-2025 artfynd.xlsx", "A 36694-2025")</f>
        <v/>
      </c>
      <c r="T385">
        <f>HYPERLINK("https://klasma.github.io/Logging_1860/kartor/A 36694-2025 karta.png", "A 36694-2025")</f>
        <v/>
      </c>
      <c r="V385">
        <f>HYPERLINK("https://klasma.github.io/Logging_1860/klagomål/A 36694-2025 FSC-klagomål.docx", "A 36694-2025")</f>
        <v/>
      </c>
      <c r="W385">
        <f>HYPERLINK("https://klasma.github.io/Logging_1860/klagomålsmail/A 36694-2025 FSC-klagomål mail.docx", "A 36694-2025")</f>
        <v/>
      </c>
      <c r="X385">
        <f>HYPERLINK("https://klasma.github.io/Logging_1860/tillsyn/A 36694-2025 tillsynsbegäran.docx", "A 36694-2025")</f>
        <v/>
      </c>
      <c r="Y385">
        <f>HYPERLINK("https://klasma.github.io/Logging_1860/tillsynsmail/A 36694-2025 tillsynsbegäran mail.docx", "A 36694-2025")</f>
        <v/>
      </c>
      <c r="Z385">
        <f>HYPERLINK("https://klasma.github.io/Logging_1860/fåglar/A 36694-2025 prioriterade fågelarter.docx", "A 36694-2025")</f>
        <v/>
      </c>
    </row>
    <row r="386" ht="15" customHeight="1">
      <c r="A386" t="inlineStr">
        <is>
          <t>A 14306-2025</t>
        </is>
      </c>
      <c r="B386" s="1" t="n">
        <v>45740.70622685185</v>
      </c>
      <c r="C386" s="1" t="n">
        <v>45952</v>
      </c>
      <c r="D386" t="inlineStr">
        <is>
          <t>ÖREBRO LÄN</t>
        </is>
      </c>
      <c r="E386" t="inlineStr">
        <is>
          <t>NORA</t>
        </is>
      </c>
      <c r="G386" t="n">
        <v>1.3</v>
      </c>
      <c r="H386" t="n">
        <v>1</v>
      </c>
      <c r="I386" t="n">
        <v>0</v>
      </c>
      <c r="J386" t="n">
        <v>1</v>
      </c>
      <c r="K386" t="n">
        <v>0</v>
      </c>
      <c r="L386" t="n">
        <v>0</v>
      </c>
      <c r="M386" t="n">
        <v>0</v>
      </c>
      <c r="N386" t="n">
        <v>0</v>
      </c>
      <c r="O386" t="n">
        <v>1</v>
      </c>
      <c r="P386" t="n">
        <v>0</v>
      </c>
      <c r="Q386" t="n">
        <v>1</v>
      </c>
      <c r="R386" s="2" t="inlineStr">
        <is>
          <t>Spillkråka</t>
        </is>
      </c>
      <c r="S386">
        <f>HYPERLINK("https://klasma.github.io/Logging_1884/artfynd/A 14306-2025 artfynd.xlsx", "A 14306-2025")</f>
        <v/>
      </c>
      <c r="T386">
        <f>HYPERLINK("https://klasma.github.io/Logging_1884/kartor/A 14306-2025 karta.png", "A 14306-2025")</f>
        <v/>
      </c>
      <c r="V386">
        <f>HYPERLINK("https://klasma.github.io/Logging_1884/klagomål/A 14306-2025 FSC-klagomål.docx", "A 14306-2025")</f>
        <v/>
      </c>
      <c r="W386">
        <f>HYPERLINK("https://klasma.github.io/Logging_1884/klagomålsmail/A 14306-2025 FSC-klagomål mail.docx", "A 14306-2025")</f>
        <v/>
      </c>
      <c r="X386">
        <f>HYPERLINK("https://klasma.github.io/Logging_1884/tillsyn/A 14306-2025 tillsynsbegäran.docx", "A 14306-2025")</f>
        <v/>
      </c>
      <c r="Y386">
        <f>HYPERLINK("https://klasma.github.io/Logging_1884/tillsynsmail/A 14306-2025 tillsynsbegäran mail.docx", "A 14306-2025")</f>
        <v/>
      </c>
      <c r="Z386">
        <f>HYPERLINK("https://klasma.github.io/Logging_1884/fåglar/A 14306-2025 prioriterade fågelarter.docx", "A 14306-2025")</f>
        <v/>
      </c>
    </row>
    <row r="387" ht="15" customHeight="1">
      <c r="A387" t="inlineStr">
        <is>
          <t>A 44857-2025</t>
        </is>
      </c>
      <c r="B387" s="1" t="n">
        <v>45918.45165509259</v>
      </c>
      <c r="C387" s="1" t="n">
        <v>45952</v>
      </c>
      <c r="D387" t="inlineStr">
        <is>
          <t>ÖREBRO LÄN</t>
        </is>
      </c>
      <c r="E387" t="inlineStr">
        <is>
          <t>LEKEBERG</t>
        </is>
      </c>
      <c r="G387" t="n">
        <v>3.1</v>
      </c>
      <c r="H387" t="n">
        <v>0</v>
      </c>
      <c r="I387" t="n">
        <v>0</v>
      </c>
      <c r="J387" t="n">
        <v>1</v>
      </c>
      <c r="K387" t="n">
        <v>0</v>
      </c>
      <c r="L387" t="n">
        <v>0</v>
      </c>
      <c r="M387" t="n">
        <v>0</v>
      </c>
      <c r="N387" t="n">
        <v>0</v>
      </c>
      <c r="O387" t="n">
        <v>1</v>
      </c>
      <c r="P387" t="n">
        <v>0</v>
      </c>
      <c r="Q387" t="n">
        <v>1</v>
      </c>
      <c r="R387" s="2" t="inlineStr">
        <is>
          <t>Tallticka</t>
        </is>
      </c>
      <c r="S387">
        <f>HYPERLINK("https://klasma.github.io/Logging_1814/artfynd/A 44857-2025 artfynd.xlsx", "A 44857-2025")</f>
        <v/>
      </c>
      <c r="T387">
        <f>HYPERLINK("https://klasma.github.io/Logging_1814/kartor/A 44857-2025 karta.png", "A 44857-2025")</f>
        <v/>
      </c>
      <c r="V387">
        <f>HYPERLINK("https://klasma.github.io/Logging_1814/klagomål/A 44857-2025 FSC-klagomål.docx", "A 44857-2025")</f>
        <v/>
      </c>
      <c r="W387">
        <f>HYPERLINK("https://klasma.github.io/Logging_1814/klagomålsmail/A 44857-2025 FSC-klagomål mail.docx", "A 44857-2025")</f>
        <v/>
      </c>
      <c r="X387">
        <f>HYPERLINK("https://klasma.github.io/Logging_1814/tillsyn/A 44857-2025 tillsynsbegäran.docx", "A 44857-2025")</f>
        <v/>
      </c>
      <c r="Y387">
        <f>HYPERLINK("https://klasma.github.io/Logging_1814/tillsynsmail/A 44857-2025 tillsynsbegäran mail.docx", "A 44857-2025")</f>
        <v/>
      </c>
    </row>
    <row r="388" ht="15" customHeight="1">
      <c r="A388" t="inlineStr">
        <is>
          <t>A 45467-2025</t>
        </is>
      </c>
      <c r="B388" s="1" t="n">
        <v>45922.49990740741</v>
      </c>
      <c r="C388" s="1" t="n">
        <v>45952</v>
      </c>
      <c r="D388" t="inlineStr">
        <is>
          <t>ÖREBRO LÄN</t>
        </is>
      </c>
      <c r="E388" t="inlineStr">
        <is>
          <t>LINDESBERG</t>
        </is>
      </c>
      <c r="F388" t="inlineStr">
        <is>
          <t>Sveaskog</t>
        </is>
      </c>
      <c r="G388" t="n">
        <v>2</v>
      </c>
      <c r="H388" t="n">
        <v>0</v>
      </c>
      <c r="I388" t="n">
        <v>0</v>
      </c>
      <c r="J388" t="n">
        <v>1</v>
      </c>
      <c r="K388" t="n">
        <v>0</v>
      </c>
      <c r="L388" t="n">
        <v>0</v>
      </c>
      <c r="M388" t="n">
        <v>0</v>
      </c>
      <c r="N388" t="n">
        <v>0</v>
      </c>
      <c r="O388" t="n">
        <v>1</v>
      </c>
      <c r="P388" t="n">
        <v>0</v>
      </c>
      <c r="Q388" t="n">
        <v>1</v>
      </c>
      <c r="R388" s="2" t="inlineStr">
        <is>
          <t>Svartvit taggsvamp</t>
        </is>
      </c>
      <c r="S388">
        <f>HYPERLINK("https://klasma.github.io/Logging_1885/artfynd/A 45467-2025 artfynd.xlsx", "A 45467-2025")</f>
        <v/>
      </c>
      <c r="T388">
        <f>HYPERLINK("https://klasma.github.io/Logging_1885/kartor/A 45467-2025 karta.png", "A 45467-2025")</f>
        <v/>
      </c>
      <c r="V388">
        <f>HYPERLINK("https://klasma.github.io/Logging_1885/klagomål/A 45467-2025 FSC-klagomål.docx", "A 45467-2025")</f>
        <v/>
      </c>
      <c r="W388">
        <f>HYPERLINK("https://klasma.github.io/Logging_1885/klagomålsmail/A 45467-2025 FSC-klagomål mail.docx", "A 45467-2025")</f>
        <v/>
      </c>
      <c r="X388">
        <f>HYPERLINK("https://klasma.github.io/Logging_1885/tillsyn/A 45467-2025 tillsynsbegäran.docx", "A 45467-2025")</f>
        <v/>
      </c>
      <c r="Y388">
        <f>HYPERLINK("https://klasma.github.io/Logging_1885/tillsynsmail/A 45467-2025 tillsynsbegäran mail.docx", "A 45467-2025")</f>
        <v/>
      </c>
    </row>
    <row r="389" ht="15" customHeight="1">
      <c r="A389" t="inlineStr">
        <is>
          <t>A 37704-2025</t>
        </is>
      </c>
      <c r="B389" s="1" t="n">
        <v>45880.59251157408</v>
      </c>
      <c r="C389" s="1" t="n">
        <v>45952</v>
      </c>
      <c r="D389" t="inlineStr">
        <is>
          <t>ÖREBRO LÄN</t>
        </is>
      </c>
      <c r="E389" t="inlineStr">
        <is>
          <t>HALLSBERG</t>
        </is>
      </c>
      <c r="F389" t="inlineStr">
        <is>
          <t>Sveaskog</t>
        </is>
      </c>
      <c r="G389" t="n">
        <v>1.9</v>
      </c>
      <c r="H389" t="n">
        <v>0</v>
      </c>
      <c r="I389" t="n">
        <v>1</v>
      </c>
      <c r="J389" t="n">
        <v>0</v>
      </c>
      <c r="K389" t="n">
        <v>0</v>
      </c>
      <c r="L389" t="n">
        <v>0</v>
      </c>
      <c r="M389" t="n">
        <v>0</v>
      </c>
      <c r="N389" t="n">
        <v>0</v>
      </c>
      <c r="O389" t="n">
        <v>0</v>
      </c>
      <c r="P389" t="n">
        <v>0</v>
      </c>
      <c r="Q389" t="n">
        <v>1</v>
      </c>
      <c r="R389" s="2" t="inlineStr">
        <is>
          <t>Fjällig taggsvamp s.str.</t>
        </is>
      </c>
      <c r="S389">
        <f>HYPERLINK("https://klasma.github.io/Logging_1861/artfynd/A 37704-2025 artfynd.xlsx", "A 37704-2025")</f>
        <v/>
      </c>
      <c r="T389">
        <f>HYPERLINK("https://klasma.github.io/Logging_1861/kartor/A 37704-2025 karta.png", "A 37704-2025")</f>
        <v/>
      </c>
      <c r="V389">
        <f>HYPERLINK("https://klasma.github.io/Logging_1861/klagomål/A 37704-2025 FSC-klagomål.docx", "A 37704-2025")</f>
        <v/>
      </c>
      <c r="W389">
        <f>HYPERLINK("https://klasma.github.io/Logging_1861/klagomålsmail/A 37704-2025 FSC-klagomål mail.docx", "A 37704-2025")</f>
        <v/>
      </c>
      <c r="X389">
        <f>HYPERLINK("https://klasma.github.io/Logging_1861/tillsyn/A 37704-2025 tillsynsbegäran.docx", "A 37704-2025")</f>
        <v/>
      </c>
      <c r="Y389">
        <f>HYPERLINK("https://klasma.github.io/Logging_1861/tillsynsmail/A 37704-2025 tillsynsbegäran mail.docx", "A 37704-2025")</f>
        <v/>
      </c>
    </row>
    <row r="390" ht="15" customHeight="1">
      <c r="A390" t="inlineStr">
        <is>
          <t>A 37834-2025</t>
        </is>
      </c>
      <c r="B390" s="1" t="n">
        <v>45881.42446759259</v>
      </c>
      <c r="C390" s="1" t="n">
        <v>45952</v>
      </c>
      <c r="D390" t="inlineStr">
        <is>
          <t>ÖREBRO LÄN</t>
        </is>
      </c>
      <c r="E390" t="inlineStr">
        <is>
          <t>LINDESBERG</t>
        </is>
      </c>
      <c r="G390" t="n">
        <v>3.1</v>
      </c>
      <c r="H390" t="n">
        <v>0</v>
      </c>
      <c r="I390" t="n">
        <v>0</v>
      </c>
      <c r="J390" t="n">
        <v>1</v>
      </c>
      <c r="K390" t="n">
        <v>0</v>
      </c>
      <c r="L390" t="n">
        <v>0</v>
      </c>
      <c r="M390" t="n">
        <v>0</v>
      </c>
      <c r="N390" t="n">
        <v>0</v>
      </c>
      <c r="O390" t="n">
        <v>1</v>
      </c>
      <c r="P390" t="n">
        <v>0</v>
      </c>
      <c r="Q390" t="n">
        <v>1</v>
      </c>
      <c r="R390" s="2" t="inlineStr">
        <is>
          <t>Svart taggsvamp</t>
        </is>
      </c>
      <c r="S390">
        <f>HYPERLINK("https://klasma.github.io/Logging_1885/artfynd/A 37834-2025 artfynd.xlsx", "A 37834-2025")</f>
        <v/>
      </c>
      <c r="T390">
        <f>HYPERLINK("https://klasma.github.io/Logging_1885/kartor/A 37834-2025 karta.png", "A 37834-2025")</f>
        <v/>
      </c>
      <c r="V390">
        <f>HYPERLINK("https://klasma.github.io/Logging_1885/klagomål/A 37834-2025 FSC-klagomål.docx", "A 37834-2025")</f>
        <v/>
      </c>
      <c r="W390">
        <f>HYPERLINK("https://klasma.github.io/Logging_1885/klagomålsmail/A 37834-2025 FSC-klagomål mail.docx", "A 37834-2025")</f>
        <v/>
      </c>
      <c r="X390">
        <f>HYPERLINK("https://klasma.github.io/Logging_1885/tillsyn/A 37834-2025 tillsynsbegäran.docx", "A 37834-2025")</f>
        <v/>
      </c>
      <c r="Y390">
        <f>HYPERLINK("https://klasma.github.io/Logging_1885/tillsynsmail/A 37834-2025 tillsynsbegäran mail.docx", "A 37834-2025")</f>
        <v/>
      </c>
    </row>
    <row r="391" ht="15" customHeight="1">
      <c r="A391" t="inlineStr">
        <is>
          <t>A 37691-2025</t>
        </is>
      </c>
      <c r="B391" s="1" t="n">
        <v>45880.56877314814</v>
      </c>
      <c r="C391" s="1" t="n">
        <v>45952</v>
      </c>
      <c r="D391" t="inlineStr">
        <is>
          <t>ÖREBRO LÄN</t>
        </is>
      </c>
      <c r="E391" t="inlineStr">
        <is>
          <t>HALLSBERG</t>
        </is>
      </c>
      <c r="F391" t="inlineStr">
        <is>
          <t>Sveaskog</t>
        </is>
      </c>
      <c r="G391" t="n">
        <v>2.2</v>
      </c>
      <c r="H391" t="n">
        <v>0</v>
      </c>
      <c r="I391" t="n">
        <v>0</v>
      </c>
      <c r="J391" t="n">
        <v>1</v>
      </c>
      <c r="K391" t="n">
        <v>0</v>
      </c>
      <c r="L391" t="n">
        <v>0</v>
      </c>
      <c r="M391" t="n">
        <v>0</v>
      </c>
      <c r="N391" t="n">
        <v>0</v>
      </c>
      <c r="O391" t="n">
        <v>1</v>
      </c>
      <c r="P391" t="n">
        <v>0</v>
      </c>
      <c r="Q391" t="n">
        <v>1</v>
      </c>
      <c r="R391" s="2" t="inlineStr">
        <is>
          <t>Motaggsvamp</t>
        </is>
      </c>
      <c r="S391">
        <f>HYPERLINK("https://klasma.github.io/Logging_1861/artfynd/A 37691-2025 artfynd.xlsx", "A 37691-2025")</f>
        <v/>
      </c>
      <c r="T391">
        <f>HYPERLINK("https://klasma.github.io/Logging_1861/kartor/A 37691-2025 karta.png", "A 37691-2025")</f>
        <v/>
      </c>
      <c r="V391">
        <f>HYPERLINK("https://klasma.github.io/Logging_1861/klagomål/A 37691-2025 FSC-klagomål.docx", "A 37691-2025")</f>
        <v/>
      </c>
      <c r="W391">
        <f>HYPERLINK("https://klasma.github.io/Logging_1861/klagomålsmail/A 37691-2025 FSC-klagomål mail.docx", "A 37691-2025")</f>
        <v/>
      </c>
      <c r="X391">
        <f>HYPERLINK("https://klasma.github.io/Logging_1861/tillsyn/A 37691-2025 tillsynsbegäran.docx", "A 37691-2025")</f>
        <v/>
      </c>
      <c r="Y391">
        <f>HYPERLINK("https://klasma.github.io/Logging_1861/tillsynsmail/A 37691-2025 tillsynsbegäran mail.docx", "A 37691-2025")</f>
        <v/>
      </c>
    </row>
    <row r="392" ht="15" customHeight="1">
      <c r="A392" t="inlineStr">
        <is>
          <t>A 31695-2024</t>
        </is>
      </c>
      <c r="B392" s="1" t="n">
        <v>45508</v>
      </c>
      <c r="C392" s="1" t="n">
        <v>45952</v>
      </c>
      <c r="D392" t="inlineStr">
        <is>
          <t>ÖREBRO LÄN</t>
        </is>
      </c>
      <c r="E392" t="inlineStr">
        <is>
          <t>ÖREBRO</t>
        </is>
      </c>
      <c r="G392" t="n">
        <v>1.3</v>
      </c>
      <c r="H392" t="n">
        <v>1</v>
      </c>
      <c r="I392" t="n">
        <v>1</v>
      </c>
      <c r="J392" t="n">
        <v>0</v>
      </c>
      <c r="K392" t="n">
        <v>0</v>
      </c>
      <c r="L392" t="n">
        <v>0</v>
      </c>
      <c r="M392" t="n">
        <v>0</v>
      </c>
      <c r="N392" t="n">
        <v>0</v>
      </c>
      <c r="O392" t="n">
        <v>0</v>
      </c>
      <c r="P392" t="n">
        <v>0</v>
      </c>
      <c r="Q392" t="n">
        <v>1</v>
      </c>
      <c r="R392" s="2" t="inlineStr">
        <is>
          <t>Skogsknipprot</t>
        </is>
      </c>
      <c r="S392">
        <f>HYPERLINK("https://klasma.github.io/Logging_1880/artfynd/A 31695-2024 artfynd.xlsx", "A 31695-2024")</f>
        <v/>
      </c>
      <c r="T392">
        <f>HYPERLINK("https://klasma.github.io/Logging_1880/kartor/A 31695-2024 karta.png", "A 31695-2024")</f>
        <v/>
      </c>
      <c r="V392">
        <f>HYPERLINK("https://klasma.github.io/Logging_1880/klagomål/A 31695-2024 FSC-klagomål.docx", "A 31695-2024")</f>
        <v/>
      </c>
      <c r="W392">
        <f>HYPERLINK("https://klasma.github.io/Logging_1880/klagomålsmail/A 31695-2024 FSC-klagomål mail.docx", "A 31695-2024")</f>
        <v/>
      </c>
      <c r="X392">
        <f>HYPERLINK("https://klasma.github.io/Logging_1880/tillsyn/A 31695-2024 tillsynsbegäran.docx", "A 31695-2024")</f>
        <v/>
      </c>
      <c r="Y392">
        <f>HYPERLINK("https://klasma.github.io/Logging_1880/tillsynsmail/A 31695-2024 tillsynsbegäran mail.docx", "A 31695-2024")</f>
        <v/>
      </c>
    </row>
    <row r="393" ht="15" customHeight="1">
      <c r="A393" t="inlineStr">
        <is>
          <t>A 28787-2023</t>
        </is>
      </c>
      <c r="B393" s="1" t="n">
        <v>45104.3483912037</v>
      </c>
      <c r="C393" s="1" t="n">
        <v>45952</v>
      </c>
      <c r="D393" t="inlineStr">
        <is>
          <t>ÖREBRO LÄN</t>
        </is>
      </c>
      <c r="E393" t="inlineStr">
        <is>
          <t>LINDESBERG</t>
        </is>
      </c>
      <c r="F393" t="inlineStr">
        <is>
          <t>Sveaskog</t>
        </is>
      </c>
      <c r="G393" t="n">
        <v>0.5</v>
      </c>
      <c r="H393" t="n">
        <v>1</v>
      </c>
      <c r="I393" t="n">
        <v>0</v>
      </c>
      <c r="J393" t="n">
        <v>0</v>
      </c>
      <c r="K393" t="n">
        <v>0</v>
      </c>
      <c r="L393" t="n">
        <v>0</v>
      </c>
      <c r="M393" t="n">
        <v>0</v>
      </c>
      <c r="N393" t="n">
        <v>0</v>
      </c>
      <c r="O393" t="n">
        <v>0</v>
      </c>
      <c r="P393" t="n">
        <v>0</v>
      </c>
      <c r="Q393" t="n">
        <v>1</v>
      </c>
      <c r="R393" s="2" t="inlineStr">
        <is>
          <t>Fläcknycklar</t>
        </is>
      </c>
      <c r="S393">
        <f>HYPERLINK("https://klasma.github.io/Logging_1885/artfynd/A 28787-2023 artfynd.xlsx", "A 28787-2023")</f>
        <v/>
      </c>
      <c r="T393">
        <f>HYPERLINK("https://klasma.github.io/Logging_1885/kartor/A 28787-2023 karta.png", "A 28787-2023")</f>
        <v/>
      </c>
      <c r="V393">
        <f>HYPERLINK("https://klasma.github.io/Logging_1885/klagomål/A 28787-2023 FSC-klagomål.docx", "A 28787-2023")</f>
        <v/>
      </c>
      <c r="W393">
        <f>HYPERLINK("https://klasma.github.io/Logging_1885/klagomålsmail/A 28787-2023 FSC-klagomål mail.docx", "A 28787-2023")</f>
        <v/>
      </c>
      <c r="X393">
        <f>HYPERLINK("https://klasma.github.io/Logging_1885/tillsyn/A 28787-2023 tillsynsbegäran.docx", "A 28787-2023")</f>
        <v/>
      </c>
      <c r="Y393">
        <f>HYPERLINK("https://klasma.github.io/Logging_1885/tillsynsmail/A 28787-2023 tillsynsbegäran mail.docx", "A 28787-2023")</f>
        <v/>
      </c>
    </row>
    <row r="394" ht="15" customHeight="1">
      <c r="A394" t="inlineStr">
        <is>
          <t>A 10680-2024</t>
        </is>
      </c>
      <c r="B394" s="1" t="n">
        <v>45368</v>
      </c>
      <c r="C394" s="1" t="n">
        <v>45952</v>
      </c>
      <c r="D394" t="inlineStr">
        <is>
          <t>ÖREBRO LÄN</t>
        </is>
      </c>
      <c r="E394" t="inlineStr">
        <is>
          <t>LEKEBERG</t>
        </is>
      </c>
      <c r="G394" t="n">
        <v>0.9</v>
      </c>
      <c r="H394" t="n">
        <v>0</v>
      </c>
      <c r="I394" t="n">
        <v>0</v>
      </c>
      <c r="J394" t="n">
        <v>0</v>
      </c>
      <c r="K394" t="n">
        <v>0</v>
      </c>
      <c r="L394" t="n">
        <v>1</v>
      </c>
      <c r="M394" t="n">
        <v>0</v>
      </c>
      <c r="N394" t="n">
        <v>0</v>
      </c>
      <c r="O394" t="n">
        <v>1</v>
      </c>
      <c r="P394" t="n">
        <v>1</v>
      </c>
      <c r="Q394" t="n">
        <v>1</v>
      </c>
      <c r="R394" s="2" t="inlineStr">
        <is>
          <t>Ask</t>
        </is>
      </c>
      <c r="S394">
        <f>HYPERLINK("https://klasma.github.io/Logging_1814/artfynd/A 10680-2024 artfynd.xlsx", "A 10680-2024")</f>
        <v/>
      </c>
      <c r="T394">
        <f>HYPERLINK("https://klasma.github.io/Logging_1814/kartor/A 10680-2024 karta.png", "A 10680-2024")</f>
        <v/>
      </c>
      <c r="V394">
        <f>HYPERLINK("https://klasma.github.io/Logging_1814/klagomål/A 10680-2024 FSC-klagomål.docx", "A 10680-2024")</f>
        <v/>
      </c>
      <c r="W394">
        <f>HYPERLINK("https://klasma.github.io/Logging_1814/klagomålsmail/A 10680-2024 FSC-klagomål mail.docx", "A 10680-2024")</f>
        <v/>
      </c>
      <c r="X394">
        <f>HYPERLINK("https://klasma.github.io/Logging_1814/tillsyn/A 10680-2024 tillsynsbegäran.docx", "A 10680-2024")</f>
        <v/>
      </c>
      <c r="Y394">
        <f>HYPERLINK("https://klasma.github.io/Logging_1814/tillsynsmail/A 10680-2024 tillsynsbegäran mail.docx", "A 10680-2024")</f>
        <v/>
      </c>
    </row>
    <row r="395" ht="15" customHeight="1">
      <c r="A395" t="inlineStr">
        <is>
          <t>A 5097-2023</t>
        </is>
      </c>
      <c r="B395" s="1" t="n">
        <v>44958</v>
      </c>
      <c r="C395" s="1" t="n">
        <v>45952</v>
      </c>
      <c r="D395" t="inlineStr">
        <is>
          <t>ÖREBRO LÄN</t>
        </is>
      </c>
      <c r="E395" t="inlineStr">
        <is>
          <t>ÖREBRO</t>
        </is>
      </c>
      <c r="G395" t="n">
        <v>3.6</v>
      </c>
      <c r="H395" t="n">
        <v>1</v>
      </c>
      <c r="I395" t="n">
        <v>0</v>
      </c>
      <c r="J395" t="n">
        <v>0</v>
      </c>
      <c r="K395" t="n">
        <v>0</v>
      </c>
      <c r="L395" t="n">
        <v>0</v>
      </c>
      <c r="M395" t="n">
        <v>0</v>
      </c>
      <c r="N395" t="n">
        <v>0</v>
      </c>
      <c r="O395" t="n">
        <v>0</v>
      </c>
      <c r="P395" t="n">
        <v>0</v>
      </c>
      <c r="Q395" t="n">
        <v>1</v>
      </c>
      <c r="R395" s="2" t="inlineStr">
        <is>
          <t>Grönvit nattviol</t>
        </is>
      </c>
      <c r="S395">
        <f>HYPERLINK("https://klasma.github.io/Logging_1880/artfynd/A 5097-2023 artfynd.xlsx", "A 5097-2023")</f>
        <v/>
      </c>
      <c r="T395">
        <f>HYPERLINK("https://klasma.github.io/Logging_1880/kartor/A 5097-2023 karta.png", "A 5097-2023")</f>
        <v/>
      </c>
      <c r="V395">
        <f>HYPERLINK("https://klasma.github.io/Logging_1880/klagomål/A 5097-2023 FSC-klagomål.docx", "A 5097-2023")</f>
        <v/>
      </c>
      <c r="W395">
        <f>HYPERLINK("https://klasma.github.io/Logging_1880/klagomålsmail/A 5097-2023 FSC-klagomål mail.docx", "A 5097-2023")</f>
        <v/>
      </c>
      <c r="X395">
        <f>HYPERLINK("https://klasma.github.io/Logging_1880/tillsyn/A 5097-2023 tillsynsbegäran.docx", "A 5097-2023")</f>
        <v/>
      </c>
      <c r="Y395">
        <f>HYPERLINK("https://klasma.github.io/Logging_1880/tillsynsmail/A 5097-2023 tillsynsbegäran mail.docx", "A 5097-2023")</f>
        <v/>
      </c>
    </row>
    <row r="396" ht="15" customHeight="1">
      <c r="A396" t="inlineStr">
        <is>
          <t>A 1347-2021</t>
        </is>
      </c>
      <c r="B396" s="1" t="n">
        <v>44208</v>
      </c>
      <c r="C396" s="1" t="n">
        <v>45952</v>
      </c>
      <c r="D396" t="inlineStr">
        <is>
          <t>ÖREBRO LÄN</t>
        </is>
      </c>
      <c r="E396" t="inlineStr">
        <is>
          <t>ASKERSUND</t>
        </is>
      </c>
      <c r="G396" t="n">
        <v>4.1</v>
      </c>
      <c r="H396" t="n">
        <v>0</v>
      </c>
      <c r="I396" t="n">
        <v>0</v>
      </c>
      <c r="J396" t="n">
        <v>0</v>
      </c>
      <c r="K396" t="n">
        <v>0</v>
      </c>
      <c r="L396" t="n">
        <v>0</v>
      </c>
      <c r="M396" t="n">
        <v>0</v>
      </c>
      <c r="N396" t="n">
        <v>0</v>
      </c>
      <c r="O396" t="n">
        <v>0</v>
      </c>
      <c r="P396" t="n">
        <v>0</v>
      </c>
      <c r="Q396" t="n">
        <v>0</v>
      </c>
      <c r="R396" s="2" t="inlineStr"/>
    </row>
    <row r="397" ht="15" customHeight="1">
      <c r="A397" t="inlineStr">
        <is>
          <t>A 59601-2020</t>
        </is>
      </c>
      <c r="B397" s="1" t="n">
        <v>44149.36918981482</v>
      </c>
      <c r="C397" s="1" t="n">
        <v>45952</v>
      </c>
      <c r="D397" t="inlineStr">
        <is>
          <t>ÖREBRO LÄN</t>
        </is>
      </c>
      <c r="E397" t="inlineStr">
        <is>
          <t>HÄLLEFORS</t>
        </is>
      </c>
      <c r="G397" t="n">
        <v>5.8</v>
      </c>
      <c r="H397" t="n">
        <v>0</v>
      </c>
      <c r="I397" t="n">
        <v>0</v>
      </c>
      <c r="J397" t="n">
        <v>0</v>
      </c>
      <c r="K397" t="n">
        <v>0</v>
      </c>
      <c r="L397" t="n">
        <v>0</v>
      </c>
      <c r="M397" t="n">
        <v>0</v>
      </c>
      <c r="N397" t="n">
        <v>0</v>
      </c>
      <c r="O397" t="n">
        <v>0</v>
      </c>
      <c r="P397" t="n">
        <v>0</v>
      </c>
      <c r="Q397" t="n">
        <v>0</v>
      </c>
      <c r="R397" s="2" t="inlineStr"/>
    </row>
    <row r="398" ht="15" customHeight="1">
      <c r="A398" t="inlineStr">
        <is>
          <t>A 59721-2020</t>
        </is>
      </c>
      <c r="B398" s="1" t="n">
        <v>44151</v>
      </c>
      <c r="C398" s="1" t="n">
        <v>45952</v>
      </c>
      <c r="D398" t="inlineStr">
        <is>
          <t>ÖREBRO LÄN</t>
        </is>
      </c>
      <c r="E398" t="inlineStr">
        <is>
          <t>LINDESBERG</t>
        </is>
      </c>
      <c r="G398" t="n">
        <v>0.8</v>
      </c>
      <c r="H398" t="n">
        <v>0</v>
      </c>
      <c r="I398" t="n">
        <v>0</v>
      </c>
      <c r="J398" t="n">
        <v>0</v>
      </c>
      <c r="K398" t="n">
        <v>0</v>
      </c>
      <c r="L398" t="n">
        <v>0</v>
      </c>
      <c r="M398" t="n">
        <v>0</v>
      </c>
      <c r="N398" t="n">
        <v>0</v>
      </c>
      <c r="O398" t="n">
        <v>0</v>
      </c>
      <c r="P398" t="n">
        <v>0</v>
      </c>
      <c r="Q398" t="n">
        <v>0</v>
      </c>
      <c r="R398" s="2" t="inlineStr"/>
    </row>
    <row r="399" ht="15" customHeight="1">
      <c r="A399" t="inlineStr">
        <is>
          <t>A 50770-2022</t>
        </is>
      </c>
      <c r="B399" s="1" t="n">
        <v>44867.4266087963</v>
      </c>
      <c r="C399" s="1" t="n">
        <v>45952</v>
      </c>
      <c r="D399" t="inlineStr">
        <is>
          <t>ÖREBRO LÄN</t>
        </is>
      </c>
      <c r="E399" t="inlineStr">
        <is>
          <t>LAXÅ</t>
        </is>
      </c>
      <c r="F399" t="inlineStr">
        <is>
          <t>Sveaskog</t>
        </is>
      </c>
      <c r="G399" t="n">
        <v>5.3</v>
      </c>
      <c r="H399" t="n">
        <v>0</v>
      </c>
      <c r="I399" t="n">
        <v>0</v>
      </c>
      <c r="J399" t="n">
        <v>0</v>
      </c>
      <c r="K399" t="n">
        <v>0</v>
      </c>
      <c r="L399" t="n">
        <v>0</v>
      </c>
      <c r="M399" t="n">
        <v>0</v>
      </c>
      <c r="N399" t="n">
        <v>0</v>
      </c>
      <c r="O399" t="n">
        <v>0</v>
      </c>
      <c r="P399" t="n">
        <v>0</v>
      </c>
      <c r="Q399" t="n">
        <v>0</v>
      </c>
      <c r="R399" s="2" t="inlineStr"/>
    </row>
    <row r="400" ht="15" customHeight="1">
      <c r="A400" t="inlineStr">
        <is>
          <t>A 3615-2021</t>
        </is>
      </c>
      <c r="B400" s="1" t="n">
        <v>44221.37262731481</v>
      </c>
      <c r="C400" s="1" t="n">
        <v>45952</v>
      </c>
      <c r="D400" t="inlineStr">
        <is>
          <t>ÖREBRO LÄN</t>
        </is>
      </c>
      <c r="E400" t="inlineStr">
        <is>
          <t>LAXÅ</t>
        </is>
      </c>
      <c r="G400" t="n">
        <v>1.3</v>
      </c>
      <c r="H400" t="n">
        <v>0</v>
      </c>
      <c r="I400" t="n">
        <v>0</v>
      </c>
      <c r="J400" t="n">
        <v>0</v>
      </c>
      <c r="K400" t="n">
        <v>0</v>
      </c>
      <c r="L400" t="n">
        <v>0</v>
      </c>
      <c r="M400" t="n">
        <v>0</v>
      </c>
      <c r="N400" t="n">
        <v>0</v>
      </c>
      <c r="O400" t="n">
        <v>0</v>
      </c>
      <c r="P400" t="n">
        <v>0</v>
      </c>
      <c r="Q400" t="n">
        <v>0</v>
      </c>
      <c r="R400" s="2" t="inlineStr"/>
    </row>
    <row r="401" ht="15" customHeight="1">
      <c r="A401" t="inlineStr">
        <is>
          <t>A 7738-2021</t>
        </is>
      </c>
      <c r="B401" s="1" t="n">
        <v>44242</v>
      </c>
      <c r="C401" s="1" t="n">
        <v>45952</v>
      </c>
      <c r="D401" t="inlineStr">
        <is>
          <t>ÖREBRO LÄN</t>
        </is>
      </c>
      <c r="E401" t="inlineStr">
        <is>
          <t>LINDESBERG</t>
        </is>
      </c>
      <c r="G401" t="n">
        <v>1.1</v>
      </c>
      <c r="H401" t="n">
        <v>0</v>
      </c>
      <c r="I401" t="n">
        <v>0</v>
      </c>
      <c r="J401" t="n">
        <v>0</v>
      </c>
      <c r="K401" t="n">
        <v>0</v>
      </c>
      <c r="L401" t="n">
        <v>0</v>
      </c>
      <c r="M401" t="n">
        <v>0</v>
      </c>
      <c r="N401" t="n">
        <v>0</v>
      </c>
      <c r="O401" t="n">
        <v>0</v>
      </c>
      <c r="P401" t="n">
        <v>0</v>
      </c>
      <c r="Q401" t="n">
        <v>0</v>
      </c>
      <c r="R401" s="2" t="inlineStr"/>
    </row>
    <row r="402" ht="15" customHeight="1">
      <c r="A402" t="inlineStr">
        <is>
          <t>A 50772-2022</t>
        </is>
      </c>
      <c r="B402" s="1" t="n">
        <v>44867.42917824074</v>
      </c>
      <c r="C402" s="1" t="n">
        <v>45952</v>
      </c>
      <c r="D402" t="inlineStr">
        <is>
          <t>ÖREBRO LÄN</t>
        </is>
      </c>
      <c r="E402" t="inlineStr">
        <is>
          <t>LAXÅ</t>
        </is>
      </c>
      <c r="F402" t="inlineStr">
        <is>
          <t>Sveaskog</t>
        </is>
      </c>
      <c r="G402" t="n">
        <v>1.7</v>
      </c>
      <c r="H402" t="n">
        <v>0</v>
      </c>
      <c r="I402" t="n">
        <v>0</v>
      </c>
      <c r="J402" t="n">
        <v>0</v>
      </c>
      <c r="K402" t="n">
        <v>0</v>
      </c>
      <c r="L402" t="n">
        <v>0</v>
      </c>
      <c r="M402" t="n">
        <v>0</v>
      </c>
      <c r="N402" t="n">
        <v>0</v>
      </c>
      <c r="O402" t="n">
        <v>0</v>
      </c>
      <c r="P402" t="n">
        <v>0</v>
      </c>
      <c r="Q402" t="n">
        <v>0</v>
      </c>
      <c r="R402" s="2" t="inlineStr"/>
    </row>
    <row r="403" ht="15" customHeight="1">
      <c r="A403" t="inlineStr">
        <is>
          <t>A 10963-2021</t>
        </is>
      </c>
      <c r="B403" s="1" t="n">
        <v>44260.30453703704</v>
      </c>
      <c r="C403" s="1" t="n">
        <v>45952</v>
      </c>
      <c r="D403" t="inlineStr">
        <is>
          <t>ÖREBRO LÄN</t>
        </is>
      </c>
      <c r="E403" t="inlineStr">
        <is>
          <t>LINDESBERG</t>
        </is>
      </c>
      <c r="G403" t="n">
        <v>5</v>
      </c>
      <c r="H403" t="n">
        <v>0</v>
      </c>
      <c r="I403" t="n">
        <v>0</v>
      </c>
      <c r="J403" t="n">
        <v>0</v>
      </c>
      <c r="K403" t="n">
        <v>0</v>
      </c>
      <c r="L403" t="n">
        <v>0</v>
      </c>
      <c r="M403" t="n">
        <v>0</v>
      </c>
      <c r="N403" t="n">
        <v>0</v>
      </c>
      <c r="O403" t="n">
        <v>0</v>
      </c>
      <c r="P403" t="n">
        <v>0</v>
      </c>
      <c r="Q403" t="n">
        <v>0</v>
      </c>
      <c r="R403" s="2" t="inlineStr"/>
    </row>
    <row r="404" ht="15" customHeight="1">
      <c r="A404" t="inlineStr">
        <is>
          <t>A 9406-2021</t>
        </is>
      </c>
      <c r="B404" s="1" t="n">
        <v>44251</v>
      </c>
      <c r="C404" s="1" t="n">
        <v>45952</v>
      </c>
      <c r="D404" t="inlineStr">
        <is>
          <t>ÖREBRO LÄN</t>
        </is>
      </c>
      <c r="E404" t="inlineStr">
        <is>
          <t>ÖREBRO</t>
        </is>
      </c>
      <c r="G404" t="n">
        <v>6.1</v>
      </c>
      <c r="H404" t="n">
        <v>0</v>
      </c>
      <c r="I404" t="n">
        <v>0</v>
      </c>
      <c r="J404" t="n">
        <v>0</v>
      </c>
      <c r="K404" t="n">
        <v>0</v>
      </c>
      <c r="L404" t="n">
        <v>0</v>
      </c>
      <c r="M404" t="n">
        <v>0</v>
      </c>
      <c r="N404" t="n">
        <v>0</v>
      </c>
      <c r="O404" t="n">
        <v>0</v>
      </c>
      <c r="P404" t="n">
        <v>0</v>
      </c>
      <c r="Q404" t="n">
        <v>0</v>
      </c>
      <c r="R404" s="2" t="inlineStr"/>
    </row>
    <row r="405" ht="15" customHeight="1">
      <c r="A405" t="inlineStr">
        <is>
          <t>A 53165-2022</t>
        </is>
      </c>
      <c r="B405" s="1" t="n">
        <v>44876.5034375</v>
      </c>
      <c r="C405" s="1" t="n">
        <v>45952</v>
      </c>
      <c r="D405" t="inlineStr">
        <is>
          <t>ÖREBRO LÄN</t>
        </is>
      </c>
      <c r="E405" t="inlineStr">
        <is>
          <t>NORA</t>
        </is>
      </c>
      <c r="F405" t="inlineStr">
        <is>
          <t>Sveaskog</t>
        </is>
      </c>
      <c r="G405" t="n">
        <v>1.9</v>
      </c>
      <c r="H405" t="n">
        <v>0</v>
      </c>
      <c r="I405" t="n">
        <v>0</v>
      </c>
      <c r="J405" t="n">
        <v>0</v>
      </c>
      <c r="K405" t="n">
        <v>0</v>
      </c>
      <c r="L405" t="n">
        <v>0</v>
      </c>
      <c r="M405" t="n">
        <v>0</v>
      </c>
      <c r="N405" t="n">
        <v>0</v>
      </c>
      <c r="O405" t="n">
        <v>0</v>
      </c>
      <c r="P405" t="n">
        <v>0</v>
      </c>
      <c r="Q405" t="n">
        <v>0</v>
      </c>
      <c r="R405" s="2" t="inlineStr"/>
    </row>
    <row r="406" ht="15" customHeight="1">
      <c r="A406" t="inlineStr">
        <is>
          <t>A 36798-2022</t>
        </is>
      </c>
      <c r="B406" s="1" t="n">
        <v>44805</v>
      </c>
      <c r="C406" s="1" t="n">
        <v>45952</v>
      </c>
      <c r="D406" t="inlineStr">
        <is>
          <t>ÖREBRO LÄN</t>
        </is>
      </c>
      <c r="E406" t="inlineStr">
        <is>
          <t>DEGERFORS</t>
        </is>
      </c>
      <c r="G406" t="n">
        <v>1.1</v>
      </c>
      <c r="H406" t="n">
        <v>0</v>
      </c>
      <c r="I406" t="n">
        <v>0</v>
      </c>
      <c r="J406" t="n">
        <v>0</v>
      </c>
      <c r="K406" t="n">
        <v>0</v>
      </c>
      <c r="L406" t="n">
        <v>0</v>
      </c>
      <c r="M406" t="n">
        <v>0</v>
      </c>
      <c r="N406" t="n">
        <v>0</v>
      </c>
      <c r="O406" t="n">
        <v>0</v>
      </c>
      <c r="P406" t="n">
        <v>0</v>
      </c>
      <c r="Q406" t="n">
        <v>0</v>
      </c>
      <c r="R406" s="2" t="inlineStr"/>
    </row>
    <row r="407" ht="15" customHeight="1">
      <c r="A407" t="inlineStr">
        <is>
          <t>A 5735-2021</t>
        </is>
      </c>
      <c r="B407" s="1" t="n">
        <v>44230</v>
      </c>
      <c r="C407" s="1" t="n">
        <v>45952</v>
      </c>
      <c r="D407" t="inlineStr">
        <is>
          <t>ÖREBRO LÄN</t>
        </is>
      </c>
      <c r="E407" t="inlineStr">
        <is>
          <t>DEGERFORS</t>
        </is>
      </c>
      <c r="G407" t="n">
        <v>2.9</v>
      </c>
      <c r="H407" t="n">
        <v>0</v>
      </c>
      <c r="I407" t="n">
        <v>0</v>
      </c>
      <c r="J407" t="n">
        <v>0</v>
      </c>
      <c r="K407" t="n">
        <v>0</v>
      </c>
      <c r="L407" t="n">
        <v>0</v>
      </c>
      <c r="M407" t="n">
        <v>0</v>
      </c>
      <c r="N407" t="n">
        <v>0</v>
      </c>
      <c r="O407" t="n">
        <v>0</v>
      </c>
      <c r="P407" t="n">
        <v>0</v>
      </c>
      <c r="Q407" t="n">
        <v>0</v>
      </c>
      <c r="R407" s="2" t="inlineStr"/>
    </row>
    <row r="408" ht="15" customHeight="1">
      <c r="A408" t="inlineStr">
        <is>
          <t>A 12966-2021</t>
        </is>
      </c>
      <c r="B408" s="1" t="n">
        <v>44271</v>
      </c>
      <c r="C408" s="1" t="n">
        <v>45952</v>
      </c>
      <c r="D408" t="inlineStr">
        <is>
          <t>ÖREBRO LÄN</t>
        </is>
      </c>
      <c r="E408" t="inlineStr">
        <is>
          <t>HÄLLEFORS</t>
        </is>
      </c>
      <c r="F408" t="inlineStr">
        <is>
          <t>Kyrkan</t>
        </is>
      </c>
      <c r="G408" t="n">
        <v>1.3</v>
      </c>
      <c r="H408" t="n">
        <v>0</v>
      </c>
      <c r="I408" t="n">
        <v>0</v>
      </c>
      <c r="J408" t="n">
        <v>0</v>
      </c>
      <c r="K408" t="n">
        <v>0</v>
      </c>
      <c r="L408" t="n">
        <v>0</v>
      </c>
      <c r="M408" t="n">
        <v>0</v>
      </c>
      <c r="N408" t="n">
        <v>0</v>
      </c>
      <c r="O408" t="n">
        <v>0</v>
      </c>
      <c r="P408" t="n">
        <v>0</v>
      </c>
      <c r="Q408" t="n">
        <v>0</v>
      </c>
      <c r="R408" s="2" t="inlineStr"/>
    </row>
    <row r="409" ht="15" customHeight="1">
      <c r="A409" t="inlineStr">
        <is>
          <t>A 16990-2021</t>
        </is>
      </c>
      <c r="B409" s="1" t="n">
        <v>44295.61297453703</v>
      </c>
      <c r="C409" s="1" t="n">
        <v>45952</v>
      </c>
      <c r="D409" t="inlineStr">
        <is>
          <t>ÖREBRO LÄN</t>
        </is>
      </c>
      <c r="E409" t="inlineStr">
        <is>
          <t>LINDESBERG</t>
        </is>
      </c>
      <c r="G409" t="n">
        <v>0.8</v>
      </c>
      <c r="H409" t="n">
        <v>0</v>
      </c>
      <c r="I409" t="n">
        <v>0</v>
      </c>
      <c r="J409" t="n">
        <v>0</v>
      </c>
      <c r="K409" t="n">
        <v>0</v>
      </c>
      <c r="L409" t="n">
        <v>0</v>
      </c>
      <c r="M409" t="n">
        <v>0</v>
      </c>
      <c r="N409" t="n">
        <v>0</v>
      </c>
      <c r="O409" t="n">
        <v>0</v>
      </c>
      <c r="P409" t="n">
        <v>0</v>
      </c>
      <c r="Q409" t="n">
        <v>0</v>
      </c>
      <c r="R409" s="2" t="inlineStr"/>
    </row>
    <row r="410" ht="15" customHeight="1">
      <c r="A410" t="inlineStr">
        <is>
          <t>A 14365-2021</t>
        </is>
      </c>
      <c r="B410" s="1" t="n">
        <v>44279</v>
      </c>
      <c r="C410" s="1" t="n">
        <v>45952</v>
      </c>
      <c r="D410" t="inlineStr">
        <is>
          <t>ÖREBRO LÄN</t>
        </is>
      </c>
      <c r="E410" t="inlineStr">
        <is>
          <t>LEKEBERG</t>
        </is>
      </c>
      <c r="F410" t="inlineStr">
        <is>
          <t>Allmännings- och besparingsskogar</t>
        </is>
      </c>
      <c r="G410" t="n">
        <v>3.5</v>
      </c>
      <c r="H410" t="n">
        <v>0</v>
      </c>
      <c r="I410" t="n">
        <v>0</v>
      </c>
      <c r="J410" t="n">
        <v>0</v>
      </c>
      <c r="K410" t="n">
        <v>0</v>
      </c>
      <c r="L410" t="n">
        <v>0</v>
      </c>
      <c r="M410" t="n">
        <v>0</v>
      </c>
      <c r="N410" t="n">
        <v>0</v>
      </c>
      <c r="O410" t="n">
        <v>0</v>
      </c>
      <c r="P410" t="n">
        <v>0</v>
      </c>
      <c r="Q410" t="n">
        <v>0</v>
      </c>
      <c r="R410" s="2" t="inlineStr"/>
    </row>
    <row r="411" ht="15" customHeight="1">
      <c r="A411" t="inlineStr">
        <is>
          <t>A 14249-2021</t>
        </is>
      </c>
      <c r="B411" s="1" t="n">
        <v>44278.57494212963</v>
      </c>
      <c r="C411" s="1" t="n">
        <v>45952</v>
      </c>
      <c r="D411" t="inlineStr">
        <is>
          <t>ÖREBRO LÄN</t>
        </is>
      </c>
      <c r="E411" t="inlineStr">
        <is>
          <t>LJUSNARSBERG</t>
        </is>
      </c>
      <c r="G411" t="n">
        <v>4</v>
      </c>
      <c r="H411" t="n">
        <v>0</v>
      </c>
      <c r="I411" t="n">
        <v>0</v>
      </c>
      <c r="J411" t="n">
        <v>0</v>
      </c>
      <c r="K411" t="n">
        <v>0</v>
      </c>
      <c r="L411" t="n">
        <v>0</v>
      </c>
      <c r="M411" t="n">
        <v>0</v>
      </c>
      <c r="N411" t="n">
        <v>0</v>
      </c>
      <c r="O411" t="n">
        <v>0</v>
      </c>
      <c r="P411" t="n">
        <v>0</v>
      </c>
      <c r="Q411" t="n">
        <v>0</v>
      </c>
      <c r="R411" s="2" t="inlineStr"/>
    </row>
    <row r="412" ht="15" customHeight="1">
      <c r="A412" t="inlineStr">
        <is>
          <t>A 23606-2021</t>
        </is>
      </c>
      <c r="B412" s="1" t="n">
        <v>44334</v>
      </c>
      <c r="C412" s="1" t="n">
        <v>45952</v>
      </c>
      <c r="D412" t="inlineStr">
        <is>
          <t>ÖREBRO LÄN</t>
        </is>
      </c>
      <c r="E412" t="inlineStr">
        <is>
          <t>ÖREBRO</t>
        </is>
      </c>
      <c r="G412" t="n">
        <v>2.4</v>
      </c>
      <c r="H412" t="n">
        <v>0</v>
      </c>
      <c r="I412" t="n">
        <v>0</v>
      </c>
      <c r="J412" t="n">
        <v>0</v>
      </c>
      <c r="K412" t="n">
        <v>0</v>
      </c>
      <c r="L412" t="n">
        <v>0</v>
      </c>
      <c r="M412" t="n">
        <v>0</v>
      </c>
      <c r="N412" t="n">
        <v>0</v>
      </c>
      <c r="O412" t="n">
        <v>0</v>
      </c>
      <c r="P412" t="n">
        <v>0</v>
      </c>
      <c r="Q412" t="n">
        <v>0</v>
      </c>
      <c r="R412" s="2" t="inlineStr"/>
    </row>
    <row r="413" ht="15" customHeight="1">
      <c r="A413" t="inlineStr">
        <is>
          <t>A 56049-2022</t>
        </is>
      </c>
      <c r="B413" s="1" t="n">
        <v>44889.5746875</v>
      </c>
      <c r="C413" s="1" t="n">
        <v>45952</v>
      </c>
      <c r="D413" t="inlineStr">
        <is>
          <t>ÖREBRO LÄN</t>
        </is>
      </c>
      <c r="E413" t="inlineStr">
        <is>
          <t>LINDESBERG</t>
        </is>
      </c>
      <c r="G413" t="n">
        <v>1.5</v>
      </c>
      <c r="H413" t="n">
        <v>0</v>
      </c>
      <c r="I413" t="n">
        <v>0</v>
      </c>
      <c r="J413" t="n">
        <v>0</v>
      </c>
      <c r="K413" t="n">
        <v>0</v>
      </c>
      <c r="L413" t="n">
        <v>0</v>
      </c>
      <c r="M413" t="n">
        <v>0</v>
      </c>
      <c r="N413" t="n">
        <v>0</v>
      </c>
      <c r="O413" t="n">
        <v>0</v>
      </c>
      <c r="P413" t="n">
        <v>0</v>
      </c>
      <c r="Q413" t="n">
        <v>0</v>
      </c>
      <c r="R413" s="2" t="inlineStr"/>
    </row>
    <row r="414" ht="15" customHeight="1">
      <c r="A414" t="inlineStr">
        <is>
          <t>A 58476-2020</t>
        </is>
      </c>
      <c r="B414" s="1" t="n">
        <v>44144</v>
      </c>
      <c r="C414" s="1" t="n">
        <v>45952</v>
      </c>
      <c r="D414" t="inlineStr">
        <is>
          <t>ÖREBRO LÄN</t>
        </is>
      </c>
      <c r="E414" t="inlineStr">
        <is>
          <t>KARLSKOGA</t>
        </is>
      </c>
      <c r="G414" t="n">
        <v>2.7</v>
      </c>
      <c r="H414" t="n">
        <v>0</v>
      </c>
      <c r="I414" t="n">
        <v>0</v>
      </c>
      <c r="J414" t="n">
        <v>0</v>
      </c>
      <c r="K414" t="n">
        <v>0</v>
      </c>
      <c r="L414" t="n">
        <v>0</v>
      </c>
      <c r="M414" t="n">
        <v>0</v>
      </c>
      <c r="N414" t="n">
        <v>0</v>
      </c>
      <c r="O414" t="n">
        <v>0</v>
      </c>
      <c r="P414" t="n">
        <v>0</v>
      </c>
      <c r="Q414" t="n">
        <v>0</v>
      </c>
      <c r="R414" s="2" t="inlineStr"/>
    </row>
    <row r="415" ht="15" customHeight="1">
      <c r="A415" t="inlineStr">
        <is>
          <t>A 55870-2020</t>
        </is>
      </c>
      <c r="B415" s="1" t="n">
        <v>44132</v>
      </c>
      <c r="C415" s="1" t="n">
        <v>45952</v>
      </c>
      <c r="D415" t="inlineStr">
        <is>
          <t>ÖREBRO LÄN</t>
        </is>
      </c>
      <c r="E415" t="inlineStr">
        <is>
          <t>NORA</t>
        </is>
      </c>
      <c r="G415" t="n">
        <v>0.8</v>
      </c>
      <c r="H415" t="n">
        <v>0</v>
      </c>
      <c r="I415" t="n">
        <v>0</v>
      </c>
      <c r="J415" t="n">
        <v>0</v>
      </c>
      <c r="K415" t="n">
        <v>0</v>
      </c>
      <c r="L415" t="n">
        <v>0</v>
      </c>
      <c r="M415" t="n">
        <v>0</v>
      </c>
      <c r="N415" t="n">
        <v>0</v>
      </c>
      <c r="O415" t="n">
        <v>0</v>
      </c>
      <c r="P415" t="n">
        <v>0</v>
      </c>
      <c r="Q415" t="n">
        <v>0</v>
      </c>
      <c r="R415" s="2" t="inlineStr"/>
    </row>
    <row r="416" ht="15" customHeight="1">
      <c r="A416" t="inlineStr">
        <is>
          <t>A 54340-2020</t>
        </is>
      </c>
      <c r="B416" s="1" t="n">
        <v>44126</v>
      </c>
      <c r="C416" s="1" t="n">
        <v>45952</v>
      </c>
      <c r="D416" t="inlineStr">
        <is>
          <t>ÖREBRO LÄN</t>
        </is>
      </c>
      <c r="E416" t="inlineStr">
        <is>
          <t>LINDESBERG</t>
        </is>
      </c>
      <c r="G416" t="n">
        <v>0.6</v>
      </c>
      <c r="H416" t="n">
        <v>0</v>
      </c>
      <c r="I416" t="n">
        <v>0</v>
      </c>
      <c r="J416" t="n">
        <v>0</v>
      </c>
      <c r="K416" t="n">
        <v>0</v>
      </c>
      <c r="L416" t="n">
        <v>0</v>
      </c>
      <c r="M416" t="n">
        <v>0</v>
      </c>
      <c r="N416" t="n">
        <v>0</v>
      </c>
      <c r="O416" t="n">
        <v>0</v>
      </c>
      <c r="P416" t="n">
        <v>0</v>
      </c>
      <c r="Q416" t="n">
        <v>0</v>
      </c>
      <c r="R416" s="2" t="inlineStr"/>
    </row>
    <row r="417" ht="15" customHeight="1">
      <c r="A417" t="inlineStr">
        <is>
          <t>A 62212-2020</t>
        </is>
      </c>
      <c r="B417" s="1" t="n">
        <v>44159</v>
      </c>
      <c r="C417" s="1" t="n">
        <v>45952</v>
      </c>
      <c r="D417" t="inlineStr">
        <is>
          <t>ÖREBRO LÄN</t>
        </is>
      </c>
      <c r="E417" t="inlineStr">
        <is>
          <t>KARLSKOGA</t>
        </is>
      </c>
      <c r="G417" t="n">
        <v>3.6</v>
      </c>
      <c r="H417" t="n">
        <v>0</v>
      </c>
      <c r="I417" t="n">
        <v>0</v>
      </c>
      <c r="J417" t="n">
        <v>0</v>
      </c>
      <c r="K417" t="n">
        <v>0</v>
      </c>
      <c r="L417" t="n">
        <v>0</v>
      </c>
      <c r="M417" t="n">
        <v>0</v>
      </c>
      <c r="N417" t="n">
        <v>0</v>
      </c>
      <c r="O417" t="n">
        <v>0</v>
      </c>
      <c r="P417" t="n">
        <v>0</v>
      </c>
      <c r="Q417" t="n">
        <v>0</v>
      </c>
      <c r="R417" s="2" t="inlineStr"/>
    </row>
    <row r="418" ht="15" customHeight="1">
      <c r="A418" t="inlineStr">
        <is>
          <t>A 33865-2021</t>
        </is>
      </c>
      <c r="B418" s="1" t="n">
        <v>44378.62756944444</v>
      </c>
      <c r="C418" s="1" t="n">
        <v>45952</v>
      </c>
      <c r="D418" t="inlineStr">
        <is>
          <t>ÖREBRO LÄN</t>
        </is>
      </c>
      <c r="E418" t="inlineStr">
        <is>
          <t>ÖREBRO</t>
        </is>
      </c>
      <c r="F418" t="inlineStr">
        <is>
          <t>Kommuner</t>
        </is>
      </c>
      <c r="G418" t="n">
        <v>2.8</v>
      </c>
      <c r="H418" t="n">
        <v>0</v>
      </c>
      <c r="I418" t="n">
        <v>0</v>
      </c>
      <c r="J418" t="n">
        <v>0</v>
      </c>
      <c r="K418" t="n">
        <v>0</v>
      </c>
      <c r="L418" t="n">
        <v>0</v>
      </c>
      <c r="M418" t="n">
        <v>0</v>
      </c>
      <c r="N418" t="n">
        <v>0</v>
      </c>
      <c r="O418" t="n">
        <v>0</v>
      </c>
      <c r="P418" t="n">
        <v>0</v>
      </c>
      <c r="Q418" t="n">
        <v>0</v>
      </c>
      <c r="R418" s="2" t="inlineStr"/>
    </row>
    <row r="419" ht="15" customHeight="1">
      <c r="A419" t="inlineStr">
        <is>
          <t>A 31050-2021</t>
        </is>
      </c>
      <c r="B419" s="1" t="n">
        <v>44368</v>
      </c>
      <c r="C419" s="1" t="n">
        <v>45952</v>
      </c>
      <c r="D419" t="inlineStr">
        <is>
          <t>ÖREBRO LÄN</t>
        </is>
      </c>
      <c r="E419" t="inlineStr">
        <is>
          <t>LJUSNARSBERG</t>
        </is>
      </c>
      <c r="G419" t="n">
        <v>5</v>
      </c>
      <c r="H419" t="n">
        <v>0</v>
      </c>
      <c r="I419" t="n">
        <v>0</v>
      </c>
      <c r="J419" t="n">
        <v>0</v>
      </c>
      <c r="K419" t="n">
        <v>0</v>
      </c>
      <c r="L419" t="n">
        <v>0</v>
      </c>
      <c r="M419" t="n">
        <v>0</v>
      </c>
      <c r="N419" t="n">
        <v>0</v>
      </c>
      <c r="O419" t="n">
        <v>0</v>
      </c>
      <c r="P419" t="n">
        <v>0</v>
      </c>
      <c r="Q419" t="n">
        <v>0</v>
      </c>
      <c r="R419" s="2" t="inlineStr"/>
    </row>
    <row r="420" ht="15" customHeight="1">
      <c r="A420" t="inlineStr">
        <is>
          <t>A 58273-2020</t>
        </is>
      </c>
      <c r="B420" s="1" t="n">
        <v>44141</v>
      </c>
      <c r="C420" s="1" t="n">
        <v>45952</v>
      </c>
      <c r="D420" t="inlineStr">
        <is>
          <t>ÖREBRO LÄN</t>
        </is>
      </c>
      <c r="E420" t="inlineStr">
        <is>
          <t>KARLSKOGA</t>
        </is>
      </c>
      <c r="G420" t="n">
        <v>5.4</v>
      </c>
      <c r="H420" t="n">
        <v>0</v>
      </c>
      <c r="I420" t="n">
        <v>0</v>
      </c>
      <c r="J420" t="n">
        <v>0</v>
      </c>
      <c r="K420" t="n">
        <v>0</v>
      </c>
      <c r="L420" t="n">
        <v>0</v>
      </c>
      <c r="M420" t="n">
        <v>0</v>
      </c>
      <c r="N420" t="n">
        <v>0</v>
      </c>
      <c r="O420" t="n">
        <v>0</v>
      </c>
      <c r="P420" t="n">
        <v>0</v>
      </c>
      <c r="Q420" t="n">
        <v>0</v>
      </c>
      <c r="R420" s="2" t="inlineStr"/>
    </row>
    <row r="421" ht="15" customHeight="1">
      <c r="A421" t="inlineStr">
        <is>
          <t>A 12609-2021</t>
        </is>
      </c>
      <c r="B421" s="1" t="n">
        <v>44267</v>
      </c>
      <c r="C421" s="1" t="n">
        <v>45952</v>
      </c>
      <c r="D421" t="inlineStr">
        <is>
          <t>ÖREBRO LÄN</t>
        </is>
      </c>
      <c r="E421" t="inlineStr">
        <is>
          <t>LINDESBERG</t>
        </is>
      </c>
      <c r="G421" t="n">
        <v>10.9</v>
      </c>
      <c r="H421" t="n">
        <v>0</v>
      </c>
      <c r="I421" t="n">
        <v>0</v>
      </c>
      <c r="J421" t="n">
        <v>0</v>
      </c>
      <c r="K421" t="n">
        <v>0</v>
      </c>
      <c r="L421" t="n">
        <v>0</v>
      </c>
      <c r="M421" t="n">
        <v>0</v>
      </c>
      <c r="N421" t="n">
        <v>0</v>
      </c>
      <c r="O421" t="n">
        <v>0</v>
      </c>
      <c r="P421" t="n">
        <v>0</v>
      </c>
      <c r="Q421" t="n">
        <v>0</v>
      </c>
      <c r="R421" s="2" t="inlineStr"/>
    </row>
    <row r="422" ht="15" customHeight="1">
      <c r="A422" t="inlineStr">
        <is>
          <t>A 12232-2021</t>
        </is>
      </c>
      <c r="B422" s="1" t="n">
        <v>44266.70232638889</v>
      </c>
      <c r="C422" s="1" t="n">
        <v>45952</v>
      </c>
      <c r="D422" t="inlineStr">
        <is>
          <t>ÖREBRO LÄN</t>
        </is>
      </c>
      <c r="E422" t="inlineStr">
        <is>
          <t>ÖREBRO</t>
        </is>
      </c>
      <c r="G422" t="n">
        <v>1.5</v>
      </c>
      <c r="H422" t="n">
        <v>0</v>
      </c>
      <c r="I422" t="n">
        <v>0</v>
      </c>
      <c r="J422" t="n">
        <v>0</v>
      </c>
      <c r="K422" t="n">
        <v>0</v>
      </c>
      <c r="L422" t="n">
        <v>0</v>
      </c>
      <c r="M422" t="n">
        <v>0</v>
      </c>
      <c r="N422" t="n">
        <v>0</v>
      </c>
      <c r="O422" t="n">
        <v>0</v>
      </c>
      <c r="P422" t="n">
        <v>0</v>
      </c>
      <c r="Q422" t="n">
        <v>0</v>
      </c>
      <c r="R422" s="2" t="inlineStr"/>
    </row>
    <row r="423" ht="15" customHeight="1">
      <c r="A423" t="inlineStr">
        <is>
          <t>A 13760-2021</t>
        </is>
      </c>
      <c r="B423" s="1" t="n">
        <v>44274</v>
      </c>
      <c r="C423" s="1" t="n">
        <v>45952</v>
      </c>
      <c r="D423" t="inlineStr">
        <is>
          <t>ÖREBRO LÄN</t>
        </is>
      </c>
      <c r="E423" t="inlineStr">
        <is>
          <t>ÖREBRO</t>
        </is>
      </c>
      <c r="G423" t="n">
        <v>2.1</v>
      </c>
      <c r="H423" t="n">
        <v>0</v>
      </c>
      <c r="I423" t="n">
        <v>0</v>
      </c>
      <c r="J423" t="n">
        <v>0</v>
      </c>
      <c r="K423" t="n">
        <v>0</v>
      </c>
      <c r="L423" t="n">
        <v>0</v>
      </c>
      <c r="M423" t="n">
        <v>0</v>
      </c>
      <c r="N423" t="n">
        <v>0</v>
      </c>
      <c r="O423" t="n">
        <v>0</v>
      </c>
      <c r="P423" t="n">
        <v>0</v>
      </c>
      <c r="Q423" t="n">
        <v>0</v>
      </c>
      <c r="R423" s="2" t="inlineStr"/>
    </row>
    <row r="424" ht="15" customHeight="1">
      <c r="A424" t="inlineStr">
        <is>
          <t>A 5218-2021</t>
        </is>
      </c>
      <c r="B424" s="1" t="n">
        <v>44228</v>
      </c>
      <c r="C424" s="1" t="n">
        <v>45952</v>
      </c>
      <c r="D424" t="inlineStr">
        <is>
          <t>ÖREBRO LÄN</t>
        </is>
      </c>
      <c r="E424" t="inlineStr">
        <is>
          <t>ASKERSUND</t>
        </is>
      </c>
      <c r="G424" t="n">
        <v>3.4</v>
      </c>
      <c r="H424" t="n">
        <v>0</v>
      </c>
      <c r="I424" t="n">
        <v>0</v>
      </c>
      <c r="J424" t="n">
        <v>0</v>
      </c>
      <c r="K424" t="n">
        <v>0</v>
      </c>
      <c r="L424" t="n">
        <v>0</v>
      </c>
      <c r="M424" t="n">
        <v>0</v>
      </c>
      <c r="N424" t="n">
        <v>0</v>
      </c>
      <c r="O424" t="n">
        <v>0</v>
      </c>
      <c r="P424" t="n">
        <v>0</v>
      </c>
      <c r="Q424" t="n">
        <v>0</v>
      </c>
      <c r="R424" s="2" t="inlineStr"/>
    </row>
    <row r="425" ht="15" customHeight="1">
      <c r="A425" t="inlineStr">
        <is>
          <t>A 60548-2020</t>
        </is>
      </c>
      <c r="B425" s="1" t="n">
        <v>44153</v>
      </c>
      <c r="C425" s="1" t="n">
        <v>45952</v>
      </c>
      <c r="D425" t="inlineStr">
        <is>
          <t>ÖREBRO LÄN</t>
        </is>
      </c>
      <c r="E425" t="inlineStr">
        <is>
          <t>HALLSBERG</t>
        </is>
      </c>
      <c r="G425" t="n">
        <v>1.3</v>
      </c>
      <c r="H425" t="n">
        <v>0</v>
      </c>
      <c r="I425" t="n">
        <v>0</v>
      </c>
      <c r="J425" t="n">
        <v>0</v>
      </c>
      <c r="K425" t="n">
        <v>0</v>
      </c>
      <c r="L425" t="n">
        <v>0</v>
      </c>
      <c r="M425" t="n">
        <v>0</v>
      </c>
      <c r="N425" t="n">
        <v>0</v>
      </c>
      <c r="O425" t="n">
        <v>0</v>
      </c>
      <c r="P425" t="n">
        <v>0</v>
      </c>
      <c r="Q425" t="n">
        <v>0</v>
      </c>
      <c r="R425" s="2" t="inlineStr"/>
    </row>
    <row r="426" ht="15" customHeight="1">
      <c r="A426" t="inlineStr">
        <is>
          <t>A 21539-2021</t>
        </is>
      </c>
      <c r="B426" s="1" t="n">
        <v>44321.59518518519</v>
      </c>
      <c r="C426" s="1" t="n">
        <v>45952</v>
      </c>
      <c r="D426" t="inlineStr">
        <is>
          <t>ÖREBRO LÄN</t>
        </is>
      </c>
      <c r="E426" t="inlineStr">
        <is>
          <t>LAXÅ</t>
        </is>
      </c>
      <c r="F426" t="inlineStr">
        <is>
          <t>Sveaskog</t>
        </is>
      </c>
      <c r="G426" t="n">
        <v>1.3</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45952</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60240-2021</t>
        </is>
      </c>
      <c r="B428" s="1" t="n">
        <v>44495</v>
      </c>
      <c r="C428" s="1" t="n">
        <v>45952</v>
      </c>
      <c r="D428" t="inlineStr">
        <is>
          <t>ÖREBRO LÄN</t>
        </is>
      </c>
      <c r="E428" t="inlineStr">
        <is>
          <t>ASKERSUND</t>
        </is>
      </c>
      <c r="G428" t="n">
        <v>1.9</v>
      </c>
      <c r="H428" t="n">
        <v>0</v>
      </c>
      <c r="I428" t="n">
        <v>0</v>
      </c>
      <c r="J428" t="n">
        <v>0</v>
      </c>
      <c r="K428" t="n">
        <v>0</v>
      </c>
      <c r="L428" t="n">
        <v>0</v>
      </c>
      <c r="M428" t="n">
        <v>0</v>
      </c>
      <c r="N428" t="n">
        <v>0</v>
      </c>
      <c r="O428" t="n">
        <v>0</v>
      </c>
      <c r="P428" t="n">
        <v>0</v>
      </c>
      <c r="Q428" t="n">
        <v>0</v>
      </c>
      <c r="R428" s="2" t="inlineStr"/>
    </row>
    <row r="429" ht="15" customHeight="1">
      <c r="A429" t="inlineStr">
        <is>
          <t>A 16785-2021</t>
        </is>
      </c>
      <c r="B429" s="1" t="n">
        <v>44295</v>
      </c>
      <c r="C429" s="1" t="n">
        <v>45952</v>
      </c>
      <c r="D429" t="inlineStr">
        <is>
          <t>ÖREBRO LÄN</t>
        </is>
      </c>
      <c r="E429" t="inlineStr">
        <is>
          <t>ÖREBRO</t>
        </is>
      </c>
      <c r="G429" t="n">
        <v>2.8</v>
      </c>
      <c r="H429" t="n">
        <v>0</v>
      </c>
      <c r="I429" t="n">
        <v>0</v>
      </c>
      <c r="J429" t="n">
        <v>0</v>
      </c>
      <c r="K429" t="n">
        <v>0</v>
      </c>
      <c r="L429" t="n">
        <v>0</v>
      </c>
      <c r="M429" t="n">
        <v>0</v>
      </c>
      <c r="N429" t="n">
        <v>0</v>
      </c>
      <c r="O429" t="n">
        <v>0</v>
      </c>
      <c r="P429" t="n">
        <v>0</v>
      </c>
      <c r="Q429" t="n">
        <v>0</v>
      </c>
      <c r="R429" s="2" t="inlineStr"/>
    </row>
    <row r="430" ht="15" customHeight="1">
      <c r="A430" t="inlineStr">
        <is>
          <t>A 64400-2021</t>
        </is>
      </c>
      <c r="B430" s="1" t="n">
        <v>44511</v>
      </c>
      <c r="C430" s="1" t="n">
        <v>45952</v>
      </c>
      <c r="D430" t="inlineStr">
        <is>
          <t>ÖREBRO LÄN</t>
        </is>
      </c>
      <c r="E430" t="inlineStr">
        <is>
          <t>LJUSNARSBERG</t>
        </is>
      </c>
      <c r="G430" t="n">
        <v>0.6</v>
      </c>
      <c r="H430" t="n">
        <v>0</v>
      </c>
      <c r="I430" t="n">
        <v>0</v>
      </c>
      <c r="J430" t="n">
        <v>0</v>
      </c>
      <c r="K430" t="n">
        <v>0</v>
      </c>
      <c r="L430" t="n">
        <v>0</v>
      </c>
      <c r="M430" t="n">
        <v>0</v>
      </c>
      <c r="N430" t="n">
        <v>0</v>
      </c>
      <c r="O430" t="n">
        <v>0</v>
      </c>
      <c r="P430" t="n">
        <v>0</v>
      </c>
      <c r="Q430" t="n">
        <v>0</v>
      </c>
      <c r="R430" s="2" t="inlineStr"/>
    </row>
    <row r="431" ht="15" customHeight="1">
      <c r="A431" t="inlineStr">
        <is>
          <t>A 58462-2021</t>
        </is>
      </c>
      <c r="B431" s="1" t="n">
        <v>44488</v>
      </c>
      <c r="C431" s="1" t="n">
        <v>45952</v>
      </c>
      <c r="D431" t="inlineStr">
        <is>
          <t>ÖREBRO LÄN</t>
        </is>
      </c>
      <c r="E431" t="inlineStr">
        <is>
          <t>HALLSBERG</t>
        </is>
      </c>
      <c r="G431" t="n">
        <v>2.9</v>
      </c>
      <c r="H431" t="n">
        <v>0</v>
      </c>
      <c r="I431" t="n">
        <v>0</v>
      </c>
      <c r="J431" t="n">
        <v>0</v>
      </c>
      <c r="K431" t="n">
        <v>0</v>
      </c>
      <c r="L431" t="n">
        <v>0</v>
      </c>
      <c r="M431" t="n">
        <v>0</v>
      </c>
      <c r="N431" t="n">
        <v>0</v>
      </c>
      <c r="O431" t="n">
        <v>0</v>
      </c>
      <c r="P431" t="n">
        <v>0</v>
      </c>
      <c r="Q431" t="n">
        <v>0</v>
      </c>
      <c r="R431" s="2" t="inlineStr"/>
    </row>
    <row r="432" ht="15" customHeight="1">
      <c r="A432" t="inlineStr">
        <is>
          <t>A 22964-2021</t>
        </is>
      </c>
      <c r="B432" s="1" t="n">
        <v>44328</v>
      </c>
      <c r="C432" s="1" t="n">
        <v>45952</v>
      </c>
      <c r="D432" t="inlineStr">
        <is>
          <t>ÖREBRO LÄN</t>
        </is>
      </c>
      <c r="E432" t="inlineStr">
        <is>
          <t>LAXÅ</t>
        </is>
      </c>
      <c r="G432" t="n">
        <v>6.3</v>
      </c>
      <c r="H432" t="n">
        <v>0</v>
      </c>
      <c r="I432" t="n">
        <v>0</v>
      </c>
      <c r="J432" t="n">
        <v>0</v>
      </c>
      <c r="K432" t="n">
        <v>0</v>
      </c>
      <c r="L432" t="n">
        <v>0</v>
      </c>
      <c r="M432" t="n">
        <v>0</v>
      </c>
      <c r="N432" t="n">
        <v>0</v>
      </c>
      <c r="O432" t="n">
        <v>0</v>
      </c>
      <c r="P432" t="n">
        <v>0</v>
      </c>
      <c r="Q432" t="n">
        <v>0</v>
      </c>
      <c r="R432" s="2" t="inlineStr"/>
    </row>
    <row r="433" ht="15" customHeight="1">
      <c r="A433" t="inlineStr">
        <is>
          <t>A 16548-2021</t>
        </is>
      </c>
      <c r="B433" s="1" t="n">
        <v>44293.7392824074</v>
      </c>
      <c r="C433" s="1" t="n">
        <v>45952</v>
      </c>
      <c r="D433" t="inlineStr">
        <is>
          <t>ÖREBRO LÄN</t>
        </is>
      </c>
      <c r="E433" t="inlineStr">
        <is>
          <t>ASKERSUND</t>
        </is>
      </c>
      <c r="G433" t="n">
        <v>2.1</v>
      </c>
      <c r="H433" t="n">
        <v>0</v>
      </c>
      <c r="I433" t="n">
        <v>0</v>
      </c>
      <c r="J433" t="n">
        <v>0</v>
      </c>
      <c r="K433" t="n">
        <v>0</v>
      </c>
      <c r="L433" t="n">
        <v>0</v>
      </c>
      <c r="M433" t="n">
        <v>0</v>
      </c>
      <c r="N433" t="n">
        <v>0</v>
      </c>
      <c r="O433" t="n">
        <v>0</v>
      </c>
      <c r="P433" t="n">
        <v>0</v>
      </c>
      <c r="Q433" t="n">
        <v>0</v>
      </c>
      <c r="R433" s="2" t="inlineStr"/>
    </row>
    <row r="434" ht="15" customHeight="1">
      <c r="A434" t="inlineStr">
        <is>
          <t>A 26549-2021</t>
        </is>
      </c>
      <c r="B434" s="1" t="n">
        <v>44348.52565972223</v>
      </c>
      <c r="C434" s="1" t="n">
        <v>45952</v>
      </c>
      <c r="D434" t="inlineStr">
        <is>
          <t>ÖREBRO LÄN</t>
        </is>
      </c>
      <c r="E434" t="inlineStr">
        <is>
          <t>ASKERSUND</t>
        </is>
      </c>
      <c r="G434" t="n">
        <v>8</v>
      </c>
      <c r="H434" t="n">
        <v>0</v>
      </c>
      <c r="I434" t="n">
        <v>0</v>
      </c>
      <c r="J434" t="n">
        <v>0</v>
      </c>
      <c r="K434" t="n">
        <v>0</v>
      </c>
      <c r="L434" t="n">
        <v>0</v>
      </c>
      <c r="M434" t="n">
        <v>0</v>
      </c>
      <c r="N434" t="n">
        <v>0</v>
      </c>
      <c r="O434" t="n">
        <v>0</v>
      </c>
      <c r="P434" t="n">
        <v>0</v>
      </c>
      <c r="Q434" t="n">
        <v>0</v>
      </c>
      <c r="R434" s="2" t="inlineStr"/>
    </row>
    <row r="435" ht="15" customHeight="1">
      <c r="A435" t="inlineStr">
        <is>
          <t>A 3081-2021</t>
        </is>
      </c>
      <c r="B435" s="1" t="n">
        <v>44216</v>
      </c>
      <c r="C435" s="1" t="n">
        <v>45952</v>
      </c>
      <c r="D435" t="inlineStr">
        <is>
          <t>ÖREBRO LÄN</t>
        </is>
      </c>
      <c r="E435" t="inlineStr">
        <is>
          <t>ÖREBRO</t>
        </is>
      </c>
      <c r="G435" t="n">
        <v>4.2</v>
      </c>
      <c r="H435" t="n">
        <v>0</v>
      </c>
      <c r="I435" t="n">
        <v>0</v>
      </c>
      <c r="J435" t="n">
        <v>0</v>
      </c>
      <c r="K435" t="n">
        <v>0</v>
      </c>
      <c r="L435" t="n">
        <v>0</v>
      </c>
      <c r="M435" t="n">
        <v>0</v>
      </c>
      <c r="N435" t="n">
        <v>0</v>
      </c>
      <c r="O435" t="n">
        <v>0</v>
      </c>
      <c r="P435" t="n">
        <v>0</v>
      </c>
      <c r="Q435" t="n">
        <v>0</v>
      </c>
      <c r="R435" s="2" t="inlineStr"/>
    </row>
    <row r="436" ht="15" customHeight="1">
      <c r="A436" t="inlineStr">
        <is>
          <t>A 66235-2021</t>
        </is>
      </c>
      <c r="B436" s="1" t="n">
        <v>44518</v>
      </c>
      <c r="C436" s="1" t="n">
        <v>45952</v>
      </c>
      <c r="D436" t="inlineStr">
        <is>
          <t>ÖREBRO LÄN</t>
        </is>
      </c>
      <c r="E436" t="inlineStr">
        <is>
          <t>ASKERSUND</t>
        </is>
      </c>
      <c r="G436" t="n">
        <v>2.5</v>
      </c>
      <c r="H436" t="n">
        <v>0</v>
      </c>
      <c r="I436" t="n">
        <v>0</v>
      </c>
      <c r="J436" t="n">
        <v>0</v>
      </c>
      <c r="K436" t="n">
        <v>0</v>
      </c>
      <c r="L436" t="n">
        <v>0</v>
      </c>
      <c r="M436" t="n">
        <v>0</v>
      </c>
      <c r="N436" t="n">
        <v>0</v>
      </c>
      <c r="O436" t="n">
        <v>0</v>
      </c>
      <c r="P436" t="n">
        <v>0</v>
      </c>
      <c r="Q436" t="n">
        <v>0</v>
      </c>
      <c r="R436" s="2" t="inlineStr"/>
    </row>
    <row r="437" ht="15" customHeight="1">
      <c r="A437" t="inlineStr">
        <is>
          <t>A 43154-2021</t>
        </is>
      </c>
      <c r="B437" s="1" t="n">
        <v>44431.69783564815</v>
      </c>
      <c r="C437" s="1" t="n">
        <v>45952</v>
      </c>
      <c r="D437" t="inlineStr">
        <is>
          <t>ÖREBRO LÄN</t>
        </is>
      </c>
      <c r="E437" t="inlineStr">
        <is>
          <t>LINDESBERG</t>
        </is>
      </c>
      <c r="F437" t="inlineStr">
        <is>
          <t>Sveaskog</t>
        </is>
      </c>
      <c r="G437" t="n">
        <v>0.7</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45952</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45952</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51186-2021</t>
        </is>
      </c>
      <c r="B440" s="1" t="n">
        <v>44461.47859953704</v>
      </c>
      <c r="C440" s="1" t="n">
        <v>45952</v>
      </c>
      <c r="D440" t="inlineStr">
        <is>
          <t>ÖREBRO LÄN</t>
        </is>
      </c>
      <c r="E440" t="inlineStr">
        <is>
          <t>ASKERSUND</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43257-2021</t>
        </is>
      </c>
      <c r="B441" s="1" t="n">
        <v>44432.35989583333</v>
      </c>
      <c r="C441" s="1" t="n">
        <v>45952</v>
      </c>
      <c r="D441" t="inlineStr">
        <is>
          <t>ÖREBRO LÄN</t>
        </is>
      </c>
      <c r="E441" t="inlineStr">
        <is>
          <t>KUMLA</t>
        </is>
      </c>
      <c r="G441" t="n">
        <v>0.5</v>
      </c>
      <c r="H441" t="n">
        <v>0</v>
      </c>
      <c r="I441" t="n">
        <v>0</v>
      </c>
      <c r="J441" t="n">
        <v>0</v>
      </c>
      <c r="K441" t="n">
        <v>0</v>
      </c>
      <c r="L441" t="n">
        <v>0</v>
      </c>
      <c r="M441" t="n">
        <v>0</v>
      </c>
      <c r="N441" t="n">
        <v>0</v>
      </c>
      <c r="O441" t="n">
        <v>0</v>
      </c>
      <c r="P441" t="n">
        <v>0</v>
      </c>
      <c r="Q441" t="n">
        <v>0</v>
      </c>
      <c r="R441" s="2" t="inlineStr"/>
    </row>
    <row r="442" ht="15" customHeight="1">
      <c r="A442" t="inlineStr">
        <is>
          <t>A 53299-2021</t>
        </is>
      </c>
      <c r="B442" s="1" t="n">
        <v>44467</v>
      </c>
      <c r="C442" s="1" t="n">
        <v>45952</v>
      </c>
      <c r="D442" t="inlineStr">
        <is>
          <t>ÖREBRO LÄN</t>
        </is>
      </c>
      <c r="E442" t="inlineStr">
        <is>
          <t>LEKEBERG</t>
        </is>
      </c>
      <c r="F442" t="inlineStr">
        <is>
          <t>Naturvårdsverket</t>
        </is>
      </c>
      <c r="G442" t="n">
        <v>6</v>
      </c>
      <c r="H442" t="n">
        <v>0</v>
      </c>
      <c r="I442" t="n">
        <v>0</v>
      </c>
      <c r="J442" t="n">
        <v>0</v>
      </c>
      <c r="K442" t="n">
        <v>0</v>
      </c>
      <c r="L442" t="n">
        <v>0</v>
      </c>
      <c r="M442" t="n">
        <v>0</v>
      </c>
      <c r="N442" t="n">
        <v>0</v>
      </c>
      <c r="O442" t="n">
        <v>0</v>
      </c>
      <c r="P442" t="n">
        <v>0</v>
      </c>
      <c r="Q442" t="n">
        <v>0</v>
      </c>
      <c r="R442" s="2" t="inlineStr"/>
    </row>
    <row r="443" ht="15" customHeight="1">
      <c r="A443" t="inlineStr">
        <is>
          <t>A 38359-2022</t>
        </is>
      </c>
      <c r="B443" s="1" t="n">
        <v>44812</v>
      </c>
      <c r="C443" s="1" t="n">
        <v>45952</v>
      </c>
      <c r="D443" t="inlineStr">
        <is>
          <t>ÖREBRO LÄN</t>
        </is>
      </c>
      <c r="E443" t="inlineStr">
        <is>
          <t>ASKERSUND</t>
        </is>
      </c>
      <c r="G443" t="n">
        <v>0.9</v>
      </c>
      <c r="H443" t="n">
        <v>0</v>
      </c>
      <c r="I443" t="n">
        <v>0</v>
      </c>
      <c r="J443" t="n">
        <v>0</v>
      </c>
      <c r="K443" t="n">
        <v>0</v>
      </c>
      <c r="L443" t="n">
        <v>0</v>
      </c>
      <c r="M443" t="n">
        <v>0</v>
      </c>
      <c r="N443" t="n">
        <v>0</v>
      </c>
      <c r="O443" t="n">
        <v>0</v>
      </c>
      <c r="P443" t="n">
        <v>0</v>
      </c>
      <c r="Q443" t="n">
        <v>0</v>
      </c>
      <c r="R443" s="2" t="inlineStr"/>
    </row>
    <row r="444" ht="15" customHeight="1">
      <c r="A444" t="inlineStr">
        <is>
          <t>A 73701-2021</t>
        </is>
      </c>
      <c r="B444" s="1" t="n">
        <v>44552.49849537037</v>
      </c>
      <c r="C444" s="1" t="n">
        <v>45952</v>
      </c>
      <c r="D444" t="inlineStr">
        <is>
          <t>ÖREBRO LÄN</t>
        </is>
      </c>
      <c r="E444" t="inlineStr">
        <is>
          <t>KARLSKOGA</t>
        </is>
      </c>
      <c r="F444" t="inlineStr">
        <is>
          <t>Sveaskog</t>
        </is>
      </c>
      <c r="G444" t="n">
        <v>2.9</v>
      </c>
      <c r="H444" t="n">
        <v>0</v>
      </c>
      <c r="I444" t="n">
        <v>0</v>
      </c>
      <c r="J444" t="n">
        <v>0</v>
      </c>
      <c r="K444" t="n">
        <v>0</v>
      </c>
      <c r="L444" t="n">
        <v>0</v>
      </c>
      <c r="M444" t="n">
        <v>0</v>
      </c>
      <c r="N444" t="n">
        <v>0</v>
      </c>
      <c r="O444" t="n">
        <v>0</v>
      </c>
      <c r="P444" t="n">
        <v>0</v>
      </c>
      <c r="Q444" t="n">
        <v>0</v>
      </c>
      <c r="R444" s="2" t="inlineStr"/>
    </row>
    <row r="445" ht="15" customHeight="1">
      <c r="A445" t="inlineStr">
        <is>
          <t>A 67298-2021</t>
        </is>
      </c>
      <c r="B445" s="1" t="n">
        <v>44523</v>
      </c>
      <c r="C445" s="1" t="n">
        <v>45952</v>
      </c>
      <c r="D445" t="inlineStr">
        <is>
          <t>ÖREBRO LÄN</t>
        </is>
      </c>
      <c r="E445" t="inlineStr">
        <is>
          <t>NORA</t>
        </is>
      </c>
      <c r="F445" t="inlineStr">
        <is>
          <t>Sveaskog</t>
        </is>
      </c>
      <c r="G445" t="n">
        <v>3.6</v>
      </c>
      <c r="H445" t="n">
        <v>0</v>
      </c>
      <c r="I445" t="n">
        <v>0</v>
      </c>
      <c r="J445" t="n">
        <v>0</v>
      </c>
      <c r="K445" t="n">
        <v>0</v>
      </c>
      <c r="L445" t="n">
        <v>0</v>
      </c>
      <c r="M445" t="n">
        <v>0</v>
      </c>
      <c r="N445" t="n">
        <v>0</v>
      </c>
      <c r="O445" t="n">
        <v>0</v>
      </c>
      <c r="P445" t="n">
        <v>0</v>
      </c>
      <c r="Q445" t="n">
        <v>0</v>
      </c>
      <c r="R445" s="2" t="inlineStr"/>
    </row>
    <row r="446" ht="15" customHeight="1">
      <c r="A446" t="inlineStr">
        <is>
          <t>A 29560-2021</t>
        </is>
      </c>
      <c r="B446" s="1" t="n">
        <v>44361.89840277778</v>
      </c>
      <c r="C446" s="1" t="n">
        <v>45952</v>
      </c>
      <c r="D446" t="inlineStr">
        <is>
          <t>ÖREBRO LÄN</t>
        </is>
      </c>
      <c r="E446" t="inlineStr">
        <is>
          <t>LAXÅ</t>
        </is>
      </c>
      <c r="G446" t="n">
        <v>3.4</v>
      </c>
      <c r="H446" t="n">
        <v>0</v>
      </c>
      <c r="I446" t="n">
        <v>0</v>
      </c>
      <c r="J446" t="n">
        <v>0</v>
      </c>
      <c r="K446" t="n">
        <v>0</v>
      </c>
      <c r="L446" t="n">
        <v>0</v>
      </c>
      <c r="M446" t="n">
        <v>0</v>
      </c>
      <c r="N446" t="n">
        <v>0</v>
      </c>
      <c r="O446" t="n">
        <v>0</v>
      </c>
      <c r="P446" t="n">
        <v>0</v>
      </c>
      <c r="Q446" t="n">
        <v>0</v>
      </c>
      <c r="R446" s="2" t="inlineStr"/>
    </row>
    <row r="447" ht="15" customHeight="1">
      <c r="A447" t="inlineStr">
        <is>
          <t>A 70540-2021</t>
        </is>
      </c>
      <c r="B447" s="1" t="n">
        <v>44537</v>
      </c>
      <c r="C447" s="1" t="n">
        <v>45952</v>
      </c>
      <c r="D447" t="inlineStr">
        <is>
          <t>ÖREBRO LÄN</t>
        </is>
      </c>
      <c r="E447" t="inlineStr">
        <is>
          <t>ÖREBRO</t>
        </is>
      </c>
      <c r="G447" t="n">
        <v>7.1</v>
      </c>
      <c r="H447" t="n">
        <v>0</v>
      </c>
      <c r="I447" t="n">
        <v>0</v>
      </c>
      <c r="J447" t="n">
        <v>0</v>
      </c>
      <c r="K447" t="n">
        <v>0</v>
      </c>
      <c r="L447" t="n">
        <v>0</v>
      </c>
      <c r="M447" t="n">
        <v>0</v>
      </c>
      <c r="N447" t="n">
        <v>0</v>
      </c>
      <c r="O447" t="n">
        <v>0</v>
      </c>
      <c r="P447" t="n">
        <v>0</v>
      </c>
      <c r="Q447" t="n">
        <v>0</v>
      </c>
      <c r="R447" s="2" t="inlineStr"/>
    </row>
    <row r="448" ht="15" customHeight="1">
      <c r="A448" t="inlineStr">
        <is>
          <t>A 44807-2021</t>
        </is>
      </c>
      <c r="B448" s="1" t="n">
        <v>44438.49981481482</v>
      </c>
      <c r="C448" s="1" t="n">
        <v>45952</v>
      </c>
      <c r="D448" t="inlineStr">
        <is>
          <t>ÖREBRO LÄN</t>
        </is>
      </c>
      <c r="E448" t="inlineStr">
        <is>
          <t>LJUSNARSBERG</t>
        </is>
      </c>
      <c r="F448" t="inlineStr">
        <is>
          <t>Bergvik skog väst AB</t>
        </is>
      </c>
      <c r="G448" t="n">
        <v>1.2</v>
      </c>
      <c r="H448" t="n">
        <v>0</v>
      </c>
      <c r="I448" t="n">
        <v>0</v>
      </c>
      <c r="J448" t="n">
        <v>0</v>
      </c>
      <c r="K448" t="n">
        <v>0</v>
      </c>
      <c r="L448" t="n">
        <v>0</v>
      </c>
      <c r="M448" t="n">
        <v>0</v>
      </c>
      <c r="N448" t="n">
        <v>0</v>
      </c>
      <c r="O448" t="n">
        <v>0</v>
      </c>
      <c r="P448" t="n">
        <v>0</v>
      </c>
      <c r="Q448" t="n">
        <v>0</v>
      </c>
      <c r="R448" s="2" t="inlineStr"/>
    </row>
    <row r="449" ht="15" customHeight="1">
      <c r="A449" t="inlineStr">
        <is>
          <t>A 44858-2021</t>
        </is>
      </c>
      <c r="B449" s="1" t="n">
        <v>44438.59085648148</v>
      </c>
      <c r="C449" s="1" t="n">
        <v>45952</v>
      </c>
      <c r="D449" t="inlineStr">
        <is>
          <t>ÖREBRO LÄN</t>
        </is>
      </c>
      <c r="E449" t="inlineStr">
        <is>
          <t>LJUSNARSBERG</t>
        </is>
      </c>
      <c r="G449" t="n">
        <v>1.8</v>
      </c>
      <c r="H449" t="n">
        <v>0</v>
      </c>
      <c r="I449" t="n">
        <v>0</v>
      </c>
      <c r="J449" t="n">
        <v>0</v>
      </c>
      <c r="K449" t="n">
        <v>0</v>
      </c>
      <c r="L449" t="n">
        <v>0</v>
      </c>
      <c r="M449" t="n">
        <v>0</v>
      </c>
      <c r="N449" t="n">
        <v>0</v>
      </c>
      <c r="O449" t="n">
        <v>0</v>
      </c>
      <c r="P449" t="n">
        <v>0</v>
      </c>
      <c r="Q449" t="n">
        <v>0</v>
      </c>
      <c r="R449" s="2" t="inlineStr"/>
    </row>
    <row r="450" ht="15" customHeight="1">
      <c r="A450" t="inlineStr">
        <is>
          <t>A 68859-2021</t>
        </is>
      </c>
      <c r="B450" s="1" t="n">
        <v>44530.40655092592</v>
      </c>
      <c r="C450" s="1" t="n">
        <v>45952</v>
      </c>
      <c r="D450" t="inlineStr">
        <is>
          <t>ÖREBRO LÄN</t>
        </is>
      </c>
      <c r="E450" t="inlineStr">
        <is>
          <t>ASKERSUND</t>
        </is>
      </c>
      <c r="G450" t="n">
        <v>2.1</v>
      </c>
      <c r="H450" t="n">
        <v>0</v>
      </c>
      <c r="I450" t="n">
        <v>0</v>
      </c>
      <c r="J450" t="n">
        <v>0</v>
      </c>
      <c r="K450" t="n">
        <v>0</v>
      </c>
      <c r="L450" t="n">
        <v>0</v>
      </c>
      <c r="M450" t="n">
        <v>0</v>
      </c>
      <c r="N450" t="n">
        <v>0</v>
      </c>
      <c r="O450" t="n">
        <v>0</v>
      </c>
      <c r="P450" t="n">
        <v>0</v>
      </c>
      <c r="Q450" t="n">
        <v>0</v>
      </c>
      <c r="R450" s="2" t="inlineStr"/>
    </row>
    <row r="451" ht="15" customHeight="1">
      <c r="A451" t="inlineStr">
        <is>
          <t>A 47457-2022</t>
        </is>
      </c>
      <c r="B451" s="1" t="n">
        <v>44853.61925925926</v>
      </c>
      <c r="C451" s="1" t="n">
        <v>45952</v>
      </c>
      <c r="D451" t="inlineStr">
        <is>
          <t>ÖREBRO LÄN</t>
        </is>
      </c>
      <c r="E451" t="inlineStr">
        <is>
          <t>LINDESBERG</t>
        </is>
      </c>
      <c r="G451" t="n">
        <v>3.7</v>
      </c>
      <c r="H451" t="n">
        <v>0</v>
      </c>
      <c r="I451" t="n">
        <v>0</v>
      </c>
      <c r="J451" t="n">
        <v>0</v>
      </c>
      <c r="K451" t="n">
        <v>0</v>
      </c>
      <c r="L451" t="n">
        <v>0</v>
      </c>
      <c r="M451" t="n">
        <v>0</v>
      </c>
      <c r="N451" t="n">
        <v>0</v>
      </c>
      <c r="O451" t="n">
        <v>0</v>
      </c>
      <c r="P451" t="n">
        <v>0</v>
      </c>
      <c r="Q451" t="n">
        <v>0</v>
      </c>
      <c r="R451" s="2" t="inlineStr"/>
    </row>
    <row r="452" ht="15" customHeight="1">
      <c r="A452" t="inlineStr">
        <is>
          <t>A 40980-2021</t>
        </is>
      </c>
      <c r="B452" s="1" t="n">
        <v>44421.6018287037</v>
      </c>
      <c r="C452" s="1" t="n">
        <v>45952</v>
      </c>
      <c r="D452" t="inlineStr">
        <is>
          <t>ÖREBRO LÄN</t>
        </is>
      </c>
      <c r="E452" t="inlineStr">
        <is>
          <t>LAXÅ</t>
        </is>
      </c>
      <c r="G452" t="n">
        <v>1.7</v>
      </c>
      <c r="H452" t="n">
        <v>0</v>
      </c>
      <c r="I452" t="n">
        <v>0</v>
      </c>
      <c r="J452" t="n">
        <v>0</v>
      </c>
      <c r="K452" t="n">
        <v>0</v>
      </c>
      <c r="L452" t="n">
        <v>0</v>
      </c>
      <c r="M452" t="n">
        <v>0</v>
      </c>
      <c r="N452" t="n">
        <v>0</v>
      </c>
      <c r="O452" t="n">
        <v>0</v>
      </c>
      <c r="P452" t="n">
        <v>0</v>
      </c>
      <c r="Q452" t="n">
        <v>0</v>
      </c>
      <c r="R452" s="2" t="inlineStr"/>
    </row>
    <row r="453" ht="15" customHeight="1">
      <c r="A453" t="inlineStr">
        <is>
          <t>A 35303-2022</t>
        </is>
      </c>
      <c r="B453" s="1" t="n">
        <v>44798</v>
      </c>
      <c r="C453" s="1" t="n">
        <v>45952</v>
      </c>
      <c r="D453" t="inlineStr">
        <is>
          <t>ÖREBRO LÄN</t>
        </is>
      </c>
      <c r="E453" t="inlineStr">
        <is>
          <t>ASKERSUND</t>
        </is>
      </c>
      <c r="G453" t="n">
        <v>4.4</v>
      </c>
      <c r="H453" t="n">
        <v>0</v>
      </c>
      <c r="I453" t="n">
        <v>0</v>
      </c>
      <c r="J453" t="n">
        <v>0</v>
      </c>
      <c r="K453" t="n">
        <v>0</v>
      </c>
      <c r="L453" t="n">
        <v>0</v>
      </c>
      <c r="M453" t="n">
        <v>0</v>
      </c>
      <c r="N453" t="n">
        <v>0</v>
      </c>
      <c r="O453" t="n">
        <v>0</v>
      </c>
      <c r="P453" t="n">
        <v>0</v>
      </c>
      <c r="Q453" t="n">
        <v>0</v>
      </c>
      <c r="R453" s="2" t="inlineStr"/>
    </row>
    <row r="454" ht="15" customHeight="1">
      <c r="A454" t="inlineStr">
        <is>
          <t>A 20354-2022</t>
        </is>
      </c>
      <c r="B454" s="1" t="n">
        <v>44699</v>
      </c>
      <c r="C454" s="1" t="n">
        <v>45952</v>
      </c>
      <c r="D454" t="inlineStr">
        <is>
          <t>ÖREBRO LÄN</t>
        </is>
      </c>
      <c r="E454" t="inlineStr">
        <is>
          <t>HÄLLEFORS</t>
        </is>
      </c>
      <c r="G454" t="n">
        <v>0.8</v>
      </c>
      <c r="H454" t="n">
        <v>0</v>
      </c>
      <c r="I454" t="n">
        <v>0</v>
      </c>
      <c r="J454" t="n">
        <v>0</v>
      </c>
      <c r="K454" t="n">
        <v>0</v>
      </c>
      <c r="L454" t="n">
        <v>0</v>
      </c>
      <c r="M454" t="n">
        <v>0</v>
      </c>
      <c r="N454" t="n">
        <v>0</v>
      </c>
      <c r="O454" t="n">
        <v>0</v>
      </c>
      <c r="P454" t="n">
        <v>0</v>
      </c>
      <c r="Q454" t="n">
        <v>0</v>
      </c>
      <c r="R454" s="2" t="inlineStr"/>
    </row>
    <row r="455" ht="15" customHeight="1">
      <c r="A455" t="inlineStr">
        <is>
          <t>A 23700-2022</t>
        </is>
      </c>
      <c r="B455" s="1" t="n">
        <v>44721</v>
      </c>
      <c r="C455" s="1" t="n">
        <v>45952</v>
      </c>
      <c r="D455" t="inlineStr">
        <is>
          <t>ÖREBRO LÄN</t>
        </is>
      </c>
      <c r="E455" t="inlineStr">
        <is>
          <t>ASKERSUND</t>
        </is>
      </c>
      <c r="G455" t="n">
        <v>2.6</v>
      </c>
      <c r="H455" t="n">
        <v>0</v>
      </c>
      <c r="I455" t="n">
        <v>0</v>
      </c>
      <c r="J455" t="n">
        <v>0</v>
      </c>
      <c r="K455" t="n">
        <v>0</v>
      </c>
      <c r="L455" t="n">
        <v>0</v>
      </c>
      <c r="M455" t="n">
        <v>0</v>
      </c>
      <c r="N455" t="n">
        <v>0</v>
      </c>
      <c r="O455" t="n">
        <v>0</v>
      </c>
      <c r="P455" t="n">
        <v>0</v>
      </c>
      <c r="Q455" t="n">
        <v>0</v>
      </c>
      <c r="R455" s="2" t="inlineStr"/>
    </row>
    <row r="456" ht="15" customHeight="1">
      <c r="A456" t="inlineStr">
        <is>
          <t>A 47336-2021</t>
        </is>
      </c>
      <c r="B456" s="1" t="n">
        <v>44447.51184027778</v>
      </c>
      <c r="C456" s="1" t="n">
        <v>45952</v>
      </c>
      <c r="D456" t="inlineStr">
        <is>
          <t>ÖREBRO LÄN</t>
        </is>
      </c>
      <c r="E456" t="inlineStr">
        <is>
          <t>LINDESBERG</t>
        </is>
      </c>
      <c r="F456" t="inlineStr">
        <is>
          <t>Kommuner</t>
        </is>
      </c>
      <c r="G456" t="n">
        <v>3.6</v>
      </c>
      <c r="H456" t="n">
        <v>0</v>
      </c>
      <c r="I456" t="n">
        <v>0</v>
      </c>
      <c r="J456" t="n">
        <v>0</v>
      </c>
      <c r="K456" t="n">
        <v>0</v>
      </c>
      <c r="L456" t="n">
        <v>0</v>
      </c>
      <c r="M456" t="n">
        <v>0</v>
      </c>
      <c r="N456" t="n">
        <v>0</v>
      </c>
      <c r="O456" t="n">
        <v>0</v>
      </c>
      <c r="P456" t="n">
        <v>0</v>
      </c>
      <c r="Q456" t="n">
        <v>0</v>
      </c>
      <c r="R456" s="2" t="inlineStr"/>
    </row>
    <row r="457" ht="15" customHeight="1">
      <c r="A457" t="inlineStr">
        <is>
          <t>A 60302-2021</t>
        </is>
      </c>
      <c r="B457" s="1" t="n">
        <v>44495.87667824074</v>
      </c>
      <c r="C457" s="1" t="n">
        <v>45952</v>
      </c>
      <c r="D457" t="inlineStr">
        <is>
          <t>ÖREBRO LÄN</t>
        </is>
      </c>
      <c r="E457" t="inlineStr">
        <is>
          <t>LINDESBERG</t>
        </is>
      </c>
      <c r="G457" t="n">
        <v>3.2</v>
      </c>
      <c r="H457" t="n">
        <v>0</v>
      </c>
      <c r="I457" t="n">
        <v>0</v>
      </c>
      <c r="J457" t="n">
        <v>0</v>
      </c>
      <c r="K457" t="n">
        <v>0</v>
      </c>
      <c r="L457" t="n">
        <v>0</v>
      </c>
      <c r="M457" t="n">
        <v>0</v>
      </c>
      <c r="N457" t="n">
        <v>0</v>
      </c>
      <c r="O457" t="n">
        <v>0</v>
      </c>
      <c r="P457" t="n">
        <v>0</v>
      </c>
      <c r="Q457" t="n">
        <v>0</v>
      </c>
      <c r="R457" s="2" t="inlineStr"/>
    </row>
    <row r="458" ht="15" customHeight="1">
      <c r="A458" t="inlineStr">
        <is>
          <t>A 2304-2021</t>
        </is>
      </c>
      <c r="B458" s="1" t="n">
        <v>44213.74575231481</v>
      </c>
      <c r="C458" s="1" t="n">
        <v>45952</v>
      </c>
      <c r="D458" t="inlineStr">
        <is>
          <t>ÖREBRO LÄN</t>
        </is>
      </c>
      <c r="E458" t="inlineStr">
        <is>
          <t>NORA</t>
        </is>
      </c>
      <c r="G458" t="n">
        <v>2.1</v>
      </c>
      <c r="H458" t="n">
        <v>0</v>
      </c>
      <c r="I458" t="n">
        <v>0</v>
      </c>
      <c r="J458" t="n">
        <v>0</v>
      </c>
      <c r="K458" t="n">
        <v>0</v>
      </c>
      <c r="L458" t="n">
        <v>0</v>
      </c>
      <c r="M458" t="n">
        <v>0</v>
      </c>
      <c r="N458" t="n">
        <v>0</v>
      </c>
      <c r="O458" t="n">
        <v>0</v>
      </c>
      <c r="P458" t="n">
        <v>0</v>
      </c>
      <c r="Q458" t="n">
        <v>0</v>
      </c>
      <c r="R458" s="2" t="inlineStr"/>
    </row>
    <row r="459" ht="15" customHeight="1">
      <c r="A459" t="inlineStr">
        <is>
          <t>A 45859-2021</t>
        </is>
      </c>
      <c r="B459" s="1" t="n">
        <v>44441</v>
      </c>
      <c r="C459" s="1" t="n">
        <v>45952</v>
      </c>
      <c r="D459" t="inlineStr">
        <is>
          <t>ÖREBRO LÄN</t>
        </is>
      </c>
      <c r="E459" t="inlineStr">
        <is>
          <t>LJUSNARSBERG</t>
        </is>
      </c>
      <c r="G459" t="n">
        <v>4</v>
      </c>
      <c r="H459" t="n">
        <v>0</v>
      </c>
      <c r="I459" t="n">
        <v>0</v>
      </c>
      <c r="J459" t="n">
        <v>0</v>
      </c>
      <c r="K459" t="n">
        <v>0</v>
      </c>
      <c r="L459" t="n">
        <v>0</v>
      </c>
      <c r="M459" t="n">
        <v>0</v>
      </c>
      <c r="N459" t="n">
        <v>0</v>
      </c>
      <c r="O459" t="n">
        <v>0</v>
      </c>
      <c r="P459" t="n">
        <v>0</v>
      </c>
      <c r="Q459" t="n">
        <v>0</v>
      </c>
      <c r="R459" s="2" t="inlineStr"/>
    </row>
    <row r="460" ht="15" customHeight="1">
      <c r="A460" t="inlineStr">
        <is>
          <t>A 48986-2021</t>
        </is>
      </c>
      <c r="B460" s="1" t="n">
        <v>44453</v>
      </c>
      <c r="C460" s="1" t="n">
        <v>45952</v>
      </c>
      <c r="D460" t="inlineStr">
        <is>
          <t>ÖREBRO LÄN</t>
        </is>
      </c>
      <c r="E460" t="inlineStr">
        <is>
          <t>LINDESBERG</t>
        </is>
      </c>
      <c r="G460" t="n">
        <v>1.5</v>
      </c>
      <c r="H460" t="n">
        <v>0</v>
      </c>
      <c r="I460" t="n">
        <v>0</v>
      </c>
      <c r="J460" t="n">
        <v>0</v>
      </c>
      <c r="K460" t="n">
        <v>0</v>
      </c>
      <c r="L460" t="n">
        <v>0</v>
      </c>
      <c r="M460" t="n">
        <v>0</v>
      </c>
      <c r="N460" t="n">
        <v>0</v>
      </c>
      <c r="O460" t="n">
        <v>0</v>
      </c>
      <c r="P460" t="n">
        <v>0</v>
      </c>
      <c r="Q460" t="n">
        <v>0</v>
      </c>
      <c r="R460" s="2" t="inlineStr"/>
    </row>
    <row r="461" ht="15" customHeight="1">
      <c r="A461" t="inlineStr">
        <is>
          <t>A 49016-2021</t>
        </is>
      </c>
      <c r="B461" s="1" t="n">
        <v>44453</v>
      </c>
      <c r="C461" s="1" t="n">
        <v>45952</v>
      </c>
      <c r="D461" t="inlineStr">
        <is>
          <t>ÖREBRO LÄN</t>
        </is>
      </c>
      <c r="E461" t="inlineStr">
        <is>
          <t>ÖREBRO</t>
        </is>
      </c>
      <c r="G461" t="n">
        <v>4.5</v>
      </c>
      <c r="H461" t="n">
        <v>0</v>
      </c>
      <c r="I461" t="n">
        <v>0</v>
      </c>
      <c r="J461" t="n">
        <v>0</v>
      </c>
      <c r="K461" t="n">
        <v>0</v>
      </c>
      <c r="L461" t="n">
        <v>0</v>
      </c>
      <c r="M461" t="n">
        <v>0</v>
      </c>
      <c r="N461" t="n">
        <v>0</v>
      </c>
      <c r="O461" t="n">
        <v>0</v>
      </c>
      <c r="P461" t="n">
        <v>0</v>
      </c>
      <c r="Q461" t="n">
        <v>0</v>
      </c>
      <c r="R461" s="2" t="inlineStr"/>
    </row>
    <row r="462" ht="15" customHeight="1">
      <c r="A462" t="inlineStr">
        <is>
          <t>A 4982-2021</t>
        </is>
      </c>
      <c r="B462" s="1" t="n">
        <v>44228</v>
      </c>
      <c r="C462" s="1" t="n">
        <v>45952</v>
      </c>
      <c r="D462" t="inlineStr">
        <is>
          <t>ÖREBRO LÄN</t>
        </is>
      </c>
      <c r="E462" t="inlineStr">
        <is>
          <t>LINDESBERG</t>
        </is>
      </c>
      <c r="G462" t="n">
        <v>1.3</v>
      </c>
      <c r="H462" t="n">
        <v>0</v>
      </c>
      <c r="I462" t="n">
        <v>0</v>
      </c>
      <c r="J462" t="n">
        <v>0</v>
      </c>
      <c r="K462" t="n">
        <v>0</v>
      </c>
      <c r="L462" t="n">
        <v>0</v>
      </c>
      <c r="M462" t="n">
        <v>0</v>
      </c>
      <c r="N462" t="n">
        <v>0</v>
      </c>
      <c r="O462" t="n">
        <v>0</v>
      </c>
      <c r="P462" t="n">
        <v>0</v>
      </c>
      <c r="Q462" t="n">
        <v>0</v>
      </c>
      <c r="R462" s="2" t="inlineStr"/>
    </row>
    <row r="463" ht="15" customHeight="1">
      <c r="A463" t="inlineStr">
        <is>
          <t>A 69556-2020</t>
        </is>
      </c>
      <c r="B463" s="1" t="n">
        <v>44194</v>
      </c>
      <c r="C463" s="1" t="n">
        <v>45952</v>
      </c>
      <c r="D463" t="inlineStr">
        <is>
          <t>ÖREBRO LÄN</t>
        </is>
      </c>
      <c r="E463" t="inlineStr">
        <is>
          <t>ASKERSUND</t>
        </is>
      </c>
      <c r="G463" t="n">
        <v>3</v>
      </c>
      <c r="H463" t="n">
        <v>0</v>
      </c>
      <c r="I463" t="n">
        <v>0</v>
      </c>
      <c r="J463" t="n">
        <v>0</v>
      </c>
      <c r="K463" t="n">
        <v>0</v>
      </c>
      <c r="L463" t="n">
        <v>0</v>
      </c>
      <c r="M463" t="n">
        <v>0</v>
      </c>
      <c r="N463" t="n">
        <v>0</v>
      </c>
      <c r="O463" t="n">
        <v>0</v>
      </c>
      <c r="P463" t="n">
        <v>0</v>
      </c>
      <c r="Q463" t="n">
        <v>0</v>
      </c>
      <c r="R463" s="2" t="inlineStr"/>
    </row>
    <row r="464" ht="15" customHeight="1">
      <c r="A464" t="inlineStr">
        <is>
          <t>A 5441-2022</t>
        </is>
      </c>
      <c r="B464" s="1" t="n">
        <v>44595</v>
      </c>
      <c r="C464" s="1" t="n">
        <v>45952</v>
      </c>
      <c r="D464" t="inlineStr">
        <is>
          <t>ÖREBRO LÄN</t>
        </is>
      </c>
      <c r="E464" t="inlineStr">
        <is>
          <t>LAXÅ</t>
        </is>
      </c>
      <c r="G464" t="n">
        <v>6.5</v>
      </c>
      <c r="H464" t="n">
        <v>0</v>
      </c>
      <c r="I464" t="n">
        <v>0</v>
      </c>
      <c r="J464" t="n">
        <v>0</v>
      </c>
      <c r="K464" t="n">
        <v>0</v>
      </c>
      <c r="L464" t="n">
        <v>0</v>
      </c>
      <c r="M464" t="n">
        <v>0</v>
      </c>
      <c r="N464" t="n">
        <v>0</v>
      </c>
      <c r="O464" t="n">
        <v>0</v>
      </c>
      <c r="P464" t="n">
        <v>0</v>
      </c>
      <c r="Q464" t="n">
        <v>0</v>
      </c>
      <c r="R464" s="2" t="inlineStr"/>
    </row>
    <row r="465" ht="15" customHeight="1">
      <c r="A465" t="inlineStr">
        <is>
          <t>A 46570-2021</t>
        </is>
      </c>
      <c r="B465" s="1" t="n">
        <v>44445.4953587963</v>
      </c>
      <c r="C465" s="1" t="n">
        <v>45952</v>
      </c>
      <c r="D465" t="inlineStr">
        <is>
          <t>ÖREBRO LÄN</t>
        </is>
      </c>
      <c r="E465" t="inlineStr">
        <is>
          <t>LINDESBERG</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36784-2022</t>
        </is>
      </c>
      <c r="B466" s="1" t="n">
        <v>44805</v>
      </c>
      <c r="C466" s="1" t="n">
        <v>45952</v>
      </c>
      <c r="D466" t="inlineStr">
        <is>
          <t>ÖREBRO LÄN</t>
        </is>
      </c>
      <c r="E466" t="inlineStr">
        <is>
          <t>DEGERFORS</t>
        </is>
      </c>
      <c r="G466" t="n">
        <v>1</v>
      </c>
      <c r="H466" t="n">
        <v>0</v>
      </c>
      <c r="I466" t="n">
        <v>0</v>
      </c>
      <c r="J466" t="n">
        <v>0</v>
      </c>
      <c r="K466" t="n">
        <v>0</v>
      </c>
      <c r="L466" t="n">
        <v>0</v>
      </c>
      <c r="M466" t="n">
        <v>0</v>
      </c>
      <c r="N466" t="n">
        <v>0</v>
      </c>
      <c r="O466" t="n">
        <v>0</v>
      </c>
      <c r="P466" t="n">
        <v>0</v>
      </c>
      <c r="Q466" t="n">
        <v>0</v>
      </c>
      <c r="R466" s="2" t="inlineStr"/>
    </row>
    <row r="467" ht="15" customHeight="1">
      <c r="A467" t="inlineStr">
        <is>
          <t>A 54308-2020</t>
        </is>
      </c>
      <c r="B467" s="1" t="n">
        <v>44126</v>
      </c>
      <c r="C467" s="1" t="n">
        <v>45952</v>
      </c>
      <c r="D467" t="inlineStr">
        <is>
          <t>ÖREBRO LÄN</t>
        </is>
      </c>
      <c r="E467" t="inlineStr">
        <is>
          <t>LINDESBERG</t>
        </is>
      </c>
      <c r="G467" t="n">
        <v>0.9</v>
      </c>
      <c r="H467" t="n">
        <v>0</v>
      </c>
      <c r="I467" t="n">
        <v>0</v>
      </c>
      <c r="J467" t="n">
        <v>0</v>
      </c>
      <c r="K467" t="n">
        <v>0</v>
      </c>
      <c r="L467" t="n">
        <v>0</v>
      </c>
      <c r="M467" t="n">
        <v>0</v>
      </c>
      <c r="N467" t="n">
        <v>0</v>
      </c>
      <c r="O467" t="n">
        <v>0</v>
      </c>
      <c r="P467" t="n">
        <v>0</v>
      </c>
      <c r="Q467" t="n">
        <v>0</v>
      </c>
      <c r="R467" s="2" t="inlineStr"/>
    </row>
    <row r="468" ht="15" customHeight="1">
      <c r="A468" t="inlineStr">
        <is>
          <t>A 7043-2021</t>
        </is>
      </c>
      <c r="B468" s="1" t="n">
        <v>44237</v>
      </c>
      <c r="C468" s="1" t="n">
        <v>45952</v>
      </c>
      <c r="D468" t="inlineStr">
        <is>
          <t>ÖREBRO LÄN</t>
        </is>
      </c>
      <c r="E468" t="inlineStr">
        <is>
          <t>ASKERSUND</t>
        </is>
      </c>
      <c r="G468" t="n">
        <v>2.4</v>
      </c>
      <c r="H468" t="n">
        <v>0</v>
      </c>
      <c r="I468" t="n">
        <v>0</v>
      </c>
      <c r="J468" t="n">
        <v>0</v>
      </c>
      <c r="K468" t="n">
        <v>0</v>
      </c>
      <c r="L468" t="n">
        <v>0</v>
      </c>
      <c r="M468" t="n">
        <v>0</v>
      </c>
      <c r="N468" t="n">
        <v>0</v>
      </c>
      <c r="O468" t="n">
        <v>0</v>
      </c>
      <c r="P468" t="n">
        <v>0</v>
      </c>
      <c r="Q468" t="n">
        <v>0</v>
      </c>
      <c r="R468" s="2" t="inlineStr"/>
    </row>
    <row r="469" ht="15" customHeight="1">
      <c r="A469" t="inlineStr">
        <is>
          <t>A 7045-2021</t>
        </is>
      </c>
      <c r="B469" s="1" t="n">
        <v>44237</v>
      </c>
      <c r="C469" s="1" t="n">
        <v>45952</v>
      </c>
      <c r="D469" t="inlineStr">
        <is>
          <t>ÖREBRO LÄN</t>
        </is>
      </c>
      <c r="E469" t="inlineStr">
        <is>
          <t>ASKERSUND</t>
        </is>
      </c>
      <c r="G469" t="n">
        <v>1.9</v>
      </c>
      <c r="H469" t="n">
        <v>0</v>
      </c>
      <c r="I469" t="n">
        <v>0</v>
      </c>
      <c r="J469" t="n">
        <v>0</v>
      </c>
      <c r="K469" t="n">
        <v>0</v>
      </c>
      <c r="L469" t="n">
        <v>0</v>
      </c>
      <c r="M469" t="n">
        <v>0</v>
      </c>
      <c r="N469" t="n">
        <v>0</v>
      </c>
      <c r="O469" t="n">
        <v>0</v>
      </c>
      <c r="P469" t="n">
        <v>0</v>
      </c>
      <c r="Q469" t="n">
        <v>0</v>
      </c>
      <c r="R469" s="2" t="inlineStr"/>
    </row>
    <row r="470" ht="15" customHeight="1">
      <c r="A470" t="inlineStr">
        <is>
          <t>A 63285-2021</t>
        </is>
      </c>
      <c r="B470" s="1" t="n">
        <v>44508</v>
      </c>
      <c r="C470" s="1" t="n">
        <v>45952</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57817-2021</t>
        </is>
      </c>
      <c r="B471" s="1" t="n">
        <v>44484</v>
      </c>
      <c r="C471" s="1" t="n">
        <v>45952</v>
      </c>
      <c r="D471" t="inlineStr">
        <is>
          <t>ÖREBRO LÄN</t>
        </is>
      </c>
      <c r="E471" t="inlineStr">
        <is>
          <t>LINDESBERG</t>
        </is>
      </c>
      <c r="G471" t="n">
        <v>2.3</v>
      </c>
      <c r="H471" t="n">
        <v>0</v>
      </c>
      <c r="I471" t="n">
        <v>0</v>
      </c>
      <c r="J471" t="n">
        <v>0</v>
      </c>
      <c r="K471" t="n">
        <v>0</v>
      </c>
      <c r="L471" t="n">
        <v>0</v>
      </c>
      <c r="M471" t="n">
        <v>0</v>
      </c>
      <c r="N471" t="n">
        <v>0</v>
      </c>
      <c r="O471" t="n">
        <v>0</v>
      </c>
      <c r="P471" t="n">
        <v>0</v>
      </c>
      <c r="Q471" t="n">
        <v>0</v>
      </c>
      <c r="R471" s="2" t="inlineStr"/>
    </row>
    <row r="472" ht="15" customHeight="1">
      <c r="A472" t="inlineStr">
        <is>
          <t>A 11462-2021</t>
        </is>
      </c>
      <c r="B472" s="1" t="n">
        <v>44264</v>
      </c>
      <c r="C472" s="1" t="n">
        <v>45952</v>
      </c>
      <c r="D472" t="inlineStr">
        <is>
          <t>ÖREBRO LÄN</t>
        </is>
      </c>
      <c r="E472" t="inlineStr">
        <is>
          <t>LEKEBERG</t>
        </is>
      </c>
      <c r="G472" t="n">
        <v>1.1</v>
      </c>
      <c r="H472" t="n">
        <v>0</v>
      </c>
      <c r="I472" t="n">
        <v>0</v>
      </c>
      <c r="J472" t="n">
        <v>0</v>
      </c>
      <c r="K472" t="n">
        <v>0</v>
      </c>
      <c r="L472" t="n">
        <v>0</v>
      </c>
      <c r="M472" t="n">
        <v>0</v>
      </c>
      <c r="N472" t="n">
        <v>0</v>
      </c>
      <c r="O472" t="n">
        <v>0</v>
      </c>
      <c r="P472" t="n">
        <v>0</v>
      </c>
      <c r="Q472" t="n">
        <v>0</v>
      </c>
      <c r="R472" s="2" t="inlineStr"/>
    </row>
    <row r="473" ht="15" customHeight="1">
      <c r="A473" t="inlineStr">
        <is>
          <t>A 59557-2021</t>
        </is>
      </c>
      <c r="B473" s="1" t="n">
        <v>44491</v>
      </c>
      <c r="C473" s="1" t="n">
        <v>45952</v>
      </c>
      <c r="D473" t="inlineStr">
        <is>
          <t>ÖREBRO LÄN</t>
        </is>
      </c>
      <c r="E473" t="inlineStr">
        <is>
          <t>ASKERSUND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59584-2021</t>
        </is>
      </c>
      <c r="B474" s="1" t="n">
        <v>44491</v>
      </c>
      <c r="C474" s="1" t="n">
        <v>45952</v>
      </c>
      <c r="D474" t="inlineStr">
        <is>
          <t>ÖREBRO LÄN</t>
        </is>
      </c>
      <c r="E474" t="inlineStr">
        <is>
          <t>ÖREBRO</t>
        </is>
      </c>
      <c r="G474" t="n">
        <v>1.4</v>
      </c>
      <c r="H474" t="n">
        <v>0</v>
      </c>
      <c r="I474" t="n">
        <v>0</v>
      </c>
      <c r="J474" t="n">
        <v>0</v>
      </c>
      <c r="K474" t="n">
        <v>0</v>
      </c>
      <c r="L474" t="n">
        <v>0</v>
      </c>
      <c r="M474" t="n">
        <v>0</v>
      </c>
      <c r="N474" t="n">
        <v>0</v>
      </c>
      <c r="O474" t="n">
        <v>0</v>
      </c>
      <c r="P474" t="n">
        <v>0</v>
      </c>
      <c r="Q474" t="n">
        <v>0</v>
      </c>
      <c r="R474" s="2" t="inlineStr"/>
    </row>
    <row r="475" ht="15" customHeight="1">
      <c r="A475" t="inlineStr">
        <is>
          <t>A 42839-2021</t>
        </is>
      </c>
      <c r="B475" s="1" t="n">
        <v>44430</v>
      </c>
      <c r="C475" s="1" t="n">
        <v>45952</v>
      </c>
      <c r="D475" t="inlineStr">
        <is>
          <t>ÖREBRO LÄN</t>
        </is>
      </c>
      <c r="E475" t="inlineStr">
        <is>
          <t>ASKERSUND</t>
        </is>
      </c>
      <c r="G475" t="n">
        <v>10.7</v>
      </c>
      <c r="H475" t="n">
        <v>0</v>
      </c>
      <c r="I475" t="n">
        <v>0</v>
      </c>
      <c r="J475" t="n">
        <v>0</v>
      </c>
      <c r="K475" t="n">
        <v>0</v>
      </c>
      <c r="L475" t="n">
        <v>0</v>
      </c>
      <c r="M475" t="n">
        <v>0</v>
      </c>
      <c r="N475" t="n">
        <v>0</v>
      </c>
      <c r="O475" t="n">
        <v>0</v>
      </c>
      <c r="P475" t="n">
        <v>0</v>
      </c>
      <c r="Q475" t="n">
        <v>0</v>
      </c>
      <c r="R475" s="2" t="inlineStr"/>
    </row>
    <row r="476" ht="15" customHeight="1">
      <c r="A476" t="inlineStr">
        <is>
          <t>A 55279-2020</t>
        </is>
      </c>
      <c r="B476" s="1" t="n">
        <v>44130.68547453704</v>
      </c>
      <c r="C476" s="1" t="n">
        <v>45952</v>
      </c>
      <c r="D476" t="inlineStr">
        <is>
          <t>ÖREBRO LÄN</t>
        </is>
      </c>
      <c r="E476" t="inlineStr">
        <is>
          <t>KARLSKOGA</t>
        </is>
      </c>
      <c r="G476" t="n">
        <v>2</v>
      </c>
      <c r="H476" t="n">
        <v>0</v>
      </c>
      <c r="I476" t="n">
        <v>0</v>
      </c>
      <c r="J476" t="n">
        <v>0</v>
      </c>
      <c r="K476" t="n">
        <v>0</v>
      </c>
      <c r="L476" t="n">
        <v>0</v>
      </c>
      <c r="M476" t="n">
        <v>0</v>
      </c>
      <c r="N476" t="n">
        <v>0</v>
      </c>
      <c r="O476" t="n">
        <v>0</v>
      </c>
      <c r="P476" t="n">
        <v>0</v>
      </c>
      <c r="Q476" t="n">
        <v>0</v>
      </c>
      <c r="R476" s="2" t="inlineStr"/>
    </row>
    <row r="477" ht="15" customHeight="1">
      <c r="A477" t="inlineStr">
        <is>
          <t>A 56030-2020</t>
        </is>
      </c>
      <c r="B477" s="1" t="n">
        <v>44132</v>
      </c>
      <c r="C477" s="1" t="n">
        <v>45952</v>
      </c>
      <c r="D477" t="inlineStr">
        <is>
          <t>ÖREBRO LÄN</t>
        </is>
      </c>
      <c r="E477" t="inlineStr">
        <is>
          <t>LEKEBERG</t>
        </is>
      </c>
      <c r="G477" t="n">
        <v>0.7</v>
      </c>
      <c r="H477" t="n">
        <v>0</v>
      </c>
      <c r="I477" t="n">
        <v>0</v>
      </c>
      <c r="J477" t="n">
        <v>0</v>
      </c>
      <c r="K477" t="n">
        <v>0</v>
      </c>
      <c r="L477" t="n">
        <v>0</v>
      </c>
      <c r="M477" t="n">
        <v>0</v>
      </c>
      <c r="N477" t="n">
        <v>0</v>
      </c>
      <c r="O477" t="n">
        <v>0</v>
      </c>
      <c r="P477" t="n">
        <v>0</v>
      </c>
      <c r="Q477" t="n">
        <v>0</v>
      </c>
      <c r="R477" s="2" t="inlineStr"/>
    </row>
    <row r="478" ht="15" customHeight="1">
      <c r="A478" t="inlineStr">
        <is>
          <t>A 55991-2020</t>
        </is>
      </c>
      <c r="B478" s="1" t="n">
        <v>44133</v>
      </c>
      <c r="C478" s="1" t="n">
        <v>45952</v>
      </c>
      <c r="D478" t="inlineStr">
        <is>
          <t>ÖREBRO LÄN</t>
        </is>
      </c>
      <c r="E478" t="inlineStr">
        <is>
          <t>LAXÅ</t>
        </is>
      </c>
      <c r="G478" t="n">
        <v>1.5</v>
      </c>
      <c r="H478" t="n">
        <v>0</v>
      </c>
      <c r="I478" t="n">
        <v>0</v>
      </c>
      <c r="J478" t="n">
        <v>0</v>
      </c>
      <c r="K478" t="n">
        <v>0</v>
      </c>
      <c r="L478" t="n">
        <v>0</v>
      </c>
      <c r="M478" t="n">
        <v>0</v>
      </c>
      <c r="N478" t="n">
        <v>0</v>
      </c>
      <c r="O478" t="n">
        <v>0</v>
      </c>
      <c r="P478" t="n">
        <v>0</v>
      </c>
      <c r="Q478" t="n">
        <v>0</v>
      </c>
      <c r="R478" s="2" t="inlineStr"/>
    </row>
    <row r="479" ht="15" customHeight="1">
      <c r="A479" t="inlineStr">
        <is>
          <t>A 20506-2021</t>
        </is>
      </c>
      <c r="B479" s="1" t="n">
        <v>44315</v>
      </c>
      <c r="C479" s="1" t="n">
        <v>45952</v>
      </c>
      <c r="D479" t="inlineStr">
        <is>
          <t>ÖREBRO LÄN</t>
        </is>
      </c>
      <c r="E479" t="inlineStr">
        <is>
          <t>ASKERSUND</t>
        </is>
      </c>
      <c r="G479" t="n">
        <v>5.5</v>
      </c>
      <c r="H479" t="n">
        <v>0</v>
      </c>
      <c r="I479" t="n">
        <v>0</v>
      </c>
      <c r="J479" t="n">
        <v>0</v>
      </c>
      <c r="K479" t="n">
        <v>0</v>
      </c>
      <c r="L479" t="n">
        <v>0</v>
      </c>
      <c r="M479" t="n">
        <v>0</v>
      </c>
      <c r="N479" t="n">
        <v>0</v>
      </c>
      <c r="O479" t="n">
        <v>0</v>
      </c>
      <c r="P479" t="n">
        <v>0</v>
      </c>
      <c r="Q479" t="n">
        <v>0</v>
      </c>
      <c r="R479" s="2" t="inlineStr"/>
    </row>
    <row r="480" ht="15" customHeight="1">
      <c r="A480" t="inlineStr">
        <is>
          <t>A 66799-2020</t>
        </is>
      </c>
      <c r="B480" s="1" t="n">
        <v>44179</v>
      </c>
      <c r="C480" s="1" t="n">
        <v>45952</v>
      </c>
      <c r="D480" t="inlineStr">
        <is>
          <t>ÖREBRO LÄN</t>
        </is>
      </c>
      <c r="E480" t="inlineStr">
        <is>
          <t>ÖREBRO</t>
        </is>
      </c>
      <c r="G480" t="n">
        <v>5.2</v>
      </c>
      <c r="H480" t="n">
        <v>0</v>
      </c>
      <c r="I480" t="n">
        <v>0</v>
      </c>
      <c r="J480" t="n">
        <v>0</v>
      </c>
      <c r="K480" t="n">
        <v>0</v>
      </c>
      <c r="L480" t="n">
        <v>0</v>
      </c>
      <c r="M480" t="n">
        <v>0</v>
      </c>
      <c r="N480" t="n">
        <v>0</v>
      </c>
      <c r="O480" t="n">
        <v>0</v>
      </c>
      <c r="P480" t="n">
        <v>0</v>
      </c>
      <c r="Q480" t="n">
        <v>0</v>
      </c>
      <c r="R480" s="2" t="inlineStr"/>
    </row>
    <row r="481" ht="15" customHeight="1">
      <c r="A481" t="inlineStr">
        <is>
          <t>A 63890-2021</t>
        </is>
      </c>
      <c r="B481" s="1" t="n">
        <v>44509</v>
      </c>
      <c r="C481" s="1" t="n">
        <v>45952</v>
      </c>
      <c r="D481" t="inlineStr">
        <is>
          <t>ÖREBRO LÄN</t>
        </is>
      </c>
      <c r="E481" t="inlineStr">
        <is>
          <t>ÖREBRO</t>
        </is>
      </c>
      <c r="G481" t="n">
        <v>2.1</v>
      </c>
      <c r="H481" t="n">
        <v>0</v>
      </c>
      <c r="I481" t="n">
        <v>0</v>
      </c>
      <c r="J481" t="n">
        <v>0</v>
      </c>
      <c r="K481" t="n">
        <v>0</v>
      </c>
      <c r="L481" t="n">
        <v>0</v>
      </c>
      <c r="M481" t="n">
        <v>0</v>
      </c>
      <c r="N481" t="n">
        <v>0</v>
      </c>
      <c r="O481" t="n">
        <v>0</v>
      </c>
      <c r="P481" t="n">
        <v>0</v>
      </c>
      <c r="Q481" t="n">
        <v>0</v>
      </c>
      <c r="R481" s="2" t="inlineStr"/>
    </row>
    <row r="482" ht="15" customHeight="1">
      <c r="A482" t="inlineStr">
        <is>
          <t>A 15348-2021</t>
        </is>
      </c>
      <c r="B482" s="1" t="n">
        <v>44284.70511574074</v>
      </c>
      <c r="C482" s="1" t="n">
        <v>45952</v>
      </c>
      <c r="D482" t="inlineStr">
        <is>
          <t>ÖREBRO LÄN</t>
        </is>
      </c>
      <c r="E482" t="inlineStr">
        <is>
          <t>LINDESBERG</t>
        </is>
      </c>
      <c r="G482" t="n">
        <v>5.1</v>
      </c>
      <c r="H482" t="n">
        <v>0</v>
      </c>
      <c r="I482" t="n">
        <v>0</v>
      </c>
      <c r="J482" t="n">
        <v>0</v>
      </c>
      <c r="K482" t="n">
        <v>0</v>
      </c>
      <c r="L482" t="n">
        <v>0</v>
      </c>
      <c r="M482" t="n">
        <v>0</v>
      </c>
      <c r="N482" t="n">
        <v>0</v>
      </c>
      <c r="O482" t="n">
        <v>0</v>
      </c>
      <c r="P482" t="n">
        <v>0</v>
      </c>
      <c r="Q482" t="n">
        <v>0</v>
      </c>
      <c r="R482" s="2" t="inlineStr"/>
    </row>
    <row r="483" ht="15" customHeight="1">
      <c r="A483" t="inlineStr">
        <is>
          <t>A 72157-2021</t>
        </is>
      </c>
      <c r="B483" s="1" t="n">
        <v>44544</v>
      </c>
      <c r="C483" s="1" t="n">
        <v>45952</v>
      </c>
      <c r="D483" t="inlineStr">
        <is>
          <t>ÖREBRO LÄN</t>
        </is>
      </c>
      <c r="E483" t="inlineStr">
        <is>
          <t>LJUSNARSBERG</t>
        </is>
      </c>
      <c r="G483" t="n">
        <v>0.2</v>
      </c>
      <c r="H483" t="n">
        <v>0</v>
      </c>
      <c r="I483" t="n">
        <v>0</v>
      </c>
      <c r="J483" t="n">
        <v>0</v>
      </c>
      <c r="K483" t="n">
        <v>0</v>
      </c>
      <c r="L483" t="n">
        <v>0</v>
      </c>
      <c r="M483" t="n">
        <v>0</v>
      </c>
      <c r="N483" t="n">
        <v>0</v>
      </c>
      <c r="O483" t="n">
        <v>0</v>
      </c>
      <c r="P483" t="n">
        <v>0</v>
      </c>
      <c r="Q483" t="n">
        <v>0</v>
      </c>
      <c r="R483" s="2" t="inlineStr"/>
    </row>
    <row r="484" ht="15" customHeight="1">
      <c r="A484" t="inlineStr">
        <is>
          <t>A 61965-2020</t>
        </is>
      </c>
      <c r="B484" s="1" t="n">
        <v>44155</v>
      </c>
      <c r="C484" s="1" t="n">
        <v>45952</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12948-2021</t>
        </is>
      </c>
      <c r="B485" s="1" t="n">
        <v>44271</v>
      </c>
      <c r="C485" s="1" t="n">
        <v>45952</v>
      </c>
      <c r="D485" t="inlineStr">
        <is>
          <t>ÖREBRO LÄN</t>
        </is>
      </c>
      <c r="E485" t="inlineStr">
        <is>
          <t>LINDESBERG</t>
        </is>
      </c>
      <c r="G485" t="n">
        <v>1.8</v>
      </c>
      <c r="H485" t="n">
        <v>0</v>
      </c>
      <c r="I485" t="n">
        <v>0</v>
      </c>
      <c r="J485" t="n">
        <v>0</v>
      </c>
      <c r="K485" t="n">
        <v>0</v>
      </c>
      <c r="L485" t="n">
        <v>0</v>
      </c>
      <c r="M485" t="n">
        <v>0</v>
      </c>
      <c r="N485" t="n">
        <v>0</v>
      </c>
      <c r="O485" t="n">
        <v>0</v>
      </c>
      <c r="P485" t="n">
        <v>0</v>
      </c>
      <c r="Q485" t="n">
        <v>0</v>
      </c>
      <c r="R485" s="2" t="inlineStr"/>
    </row>
    <row r="486" ht="15" customHeight="1">
      <c r="A486" t="inlineStr">
        <is>
          <t>A 57241-2020</t>
        </is>
      </c>
      <c r="B486" s="1" t="n">
        <v>44139</v>
      </c>
      <c r="C486" s="1" t="n">
        <v>45952</v>
      </c>
      <c r="D486" t="inlineStr">
        <is>
          <t>ÖREBRO LÄN</t>
        </is>
      </c>
      <c r="E486" t="inlineStr">
        <is>
          <t>ÖREBRO</t>
        </is>
      </c>
      <c r="G486" t="n">
        <v>2.3</v>
      </c>
      <c r="H486" t="n">
        <v>0</v>
      </c>
      <c r="I486" t="n">
        <v>0</v>
      </c>
      <c r="J486" t="n">
        <v>0</v>
      </c>
      <c r="K486" t="n">
        <v>0</v>
      </c>
      <c r="L486" t="n">
        <v>0</v>
      </c>
      <c r="M486" t="n">
        <v>0</v>
      </c>
      <c r="N486" t="n">
        <v>0</v>
      </c>
      <c r="O486" t="n">
        <v>0</v>
      </c>
      <c r="P486" t="n">
        <v>0</v>
      </c>
      <c r="Q486" t="n">
        <v>0</v>
      </c>
      <c r="R486" s="2" t="inlineStr"/>
    </row>
    <row r="487" ht="15" customHeight="1">
      <c r="A487" t="inlineStr">
        <is>
          <t>A 3366-2022</t>
        </is>
      </c>
      <c r="B487" s="1" t="n">
        <v>44585</v>
      </c>
      <c r="C487" s="1" t="n">
        <v>45952</v>
      </c>
      <c r="D487" t="inlineStr">
        <is>
          <t>ÖREBRO LÄN</t>
        </is>
      </c>
      <c r="E487" t="inlineStr">
        <is>
          <t>HALLSBERG</t>
        </is>
      </c>
      <c r="G487" t="n">
        <v>3</v>
      </c>
      <c r="H487" t="n">
        <v>0</v>
      </c>
      <c r="I487" t="n">
        <v>0</v>
      </c>
      <c r="J487" t="n">
        <v>0</v>
      </c>
      <c r="K487" t="n">
        <v>0</v>
      </c>
      <c r="L487" t="n">
        <v>0</v>
      </c>
      <c r="M487" t="n">
        <v>0</v>
      </c>
      <c r="N487" t="n">
        <v>0</v>
      </c>
      <c r="O487" t="n">
        <v>0</v>
      </c>
      <c r="P487" t="n">
        <v>0</v>
      </c>
      <c r="Q487" t="n">
        <v>0</v>
      </c>
      <c r="R487" s="2" t="inlineStr"/>
    </row>
    <row r="488" ht="15" customHeight="1">
      <c r="A488" t="inlineStr">
        <is>
          <t>A 22605-2021</t>
        </is>
      </c>
      <c r="B488" s="1" t="n">
        <v>44327</v>
      </c>
      <c r="C488" s="1" t="n">
        <v>45952</v>
      </c>
      <c r="D488" t="inlineStr">
        <is>
          <t>ÖREBRO LÄN</t>
        </is>
      </c>
      <c r="E488" t="inlineStr">
        <is>
          <t>LINDESBERG</t>
        </is>
      </c>
      <c r="F488" t="inlineStr">
        <is>
          <t>Kommuner</t>
        </is>
      </c>
      <c r="G488" t="n">
        <v>2</v>
      </c>
      <c r="H488" t="n">
        <v>0</v>
      </c>
      <c r="I488" t="n">
        <v>0</v>
      </c>
      <c r="J488" t="n">
        <v>0</v>
      </c>
      <c r="K488" t="n">
        <v>0</v>
      </c>
      <c r="L488" t="n">
        <v>0</v>
      </c>
      <c r="M488" t="n">
        <v>0</v>
      </c>
      <c r="N488" t="n">
        <v>0</v>
      </c>
      <c r="O488" t="n">
        <v>0</v>
      </c>
      <c r="P488" t="n">
        <v>0</v>
      </c>
      <c r="Q488" t="n">
        <v>0</v>
      </c>
      <c r="R488" s="2" t="inlineStr"/>
    </row>
    <row r="489" ht="15" customHeight="1">
      <c r="A489" t="inlineStr">
        <is>
          <t>A 66402-2020</t>
        </is>
      </c>
      <c r="B489" s="1" t="n">
        <v>44176</v>
      </c>
      <c r="C489" s="1" t="n">
        <v>45952</v>
      </c>
      <c r="D489" t="inlineStr">
        <is>
          <t>ÖREBRO LÄN</t>
        </is>
      </c>
      <c r="E489" t="inlineStr">
        <is>
          <t>LINDESBERG</t>
        </is>
      </c>
      <c r="F489" t="inlineStr">
        <is>
          <t>Sveaskog</t>
        </is>
      </c>
      <c r="G489" t="n">
        <v>0.9</v>
      </c>
      <c r="H489" t="n">
        <v>0</v>
      </c>
      <c r="I489" t="n">
        <v>0</v>
      </c>
      <c r="J489" t="n">
        <v>0</v>
      </c>
      <c r="K489" t="n">
        <v>0</v>
      </c>
      <c r="L489" t="n">
        <v>0</v>
      </c>
      <c r="M489" t="n">
        <v>0</v>
      </c>
      <c r="N489" t="n">
        <v>0</v>
      </c>
      <c r="O489" t="n">
        <v>0</v>
      </c>
      <c r="P489" t="n">
        <v>0</v>
      </c>
      <c r="Q489" t="n">
        <v>0</v>
      </c>
      <c r="R489" s="2" t="inlineStr"/>
    </row>
    <row r="490" ht="15" customHeight="1">
      <c r="A490" t="inlineStr">
        <is>
          <t>A 6468-2022</t>
        </is>
      </c>
      <c r="B490" s="1" t="n">
        <v>44601</v>
      </c>
      <c r="C490" s="1" t="n">
        <v>45952</v>
      </c>
      <c r="D490" t="inlineStr">
        <is>
          <t>ÖREBRO LÄN</t>
        </is>
      </c>
      <c r="E490" t="inlineStr">
        <is>
          <t>LEKEBERG</t>
        </is>
      </c>
      <c r="G490" t="n">
        <v>3.2</v>
      </c>
      <c r="H490" t="n">
        <v>0</v>
      </c>
      <c r="I490" t="n">
        <v>0</v>
      </c>
      <c r="J490" t="n">
        <v>0</v>
      </c>
      <c r="K490" t="n">
        <v>0</v>
      </c>
      <c r="L490" t="n">
        <v>0</v>
      </c>
      <c r="M490" t="n">
        <v>0</v>
      </c>
      <c r="N490" t="n">
        <v>0</v>
      </c>
      <c r="O490" t="n">
        <v>0</v>
      </c>
      <c r="P490" t="n">
        <v>0</v>
      </c>
      <c r="Q490" t="n">
        <v>0</v>
      </c>
      <c r="R490" s="2" t="inlineStr"/>
    </row>
    <row r="491" ht="15" customHeight="1">
      <c r="A491" t="inlineStr">
        <is>
          <t>A 4876-2021</t>
        </is>
      </c>
      <c r="B491" s="1" t="n">
        <v>44225.66118055556</v>
      </c>
      <c r="C491" s="1" t="n">
        <v>45952</v>
      </c>
      <c r="D491" t="inlineStr">
        <is>
          <t>ÖREBRO LÄN</t>
        </is>
      </c>
      <c r="E491" t="inlineStr">
        <is>
          <t>LJUSNARSBERG</t>
        </is>
      </c>
      <c r="G491" t="n">
        <v>1.3</v>
      </c>
      <c r="H491" t="n">
        <v>0</v>
      </c>
      <c r="I491" t="n">
        <v>0</v>
      </c>
      <c r="J491" t="n">
        <v>0</v>
      </c>
      <c r="K491" t="n">
        <v>0</v>
      </c>
      <c r="L491" t="n">
        <v>0</v>
      </c>
      <c r="M491" t="n">
        <v>0</v>
      </c>
      <c r="N491" t="n">
        <v>0</v>
      </c>
      <c r="O491" t="n">
        <v>0</v>
      </c>
      <c r="P491" t="n">
        <v>0</v>
      </c>
      <c r="Q491" t="n">
        <v>0</v>
      </c>
      <c r="R491" s="2" t="inlineStr"/>
    </row>
    <row r="492" ht="15" customHeight="1">
      <c r="A492" t="inlineStr">
        <is>
          <t>A 64048-2020</t>
        </is>
      </c>
      <c r="B492" s="1" t="n">
        <v>44167</v>
      </c>
      <c r="C492" s="1" t="n">
        <v>45952</v>
      </c>
      <c r="D492" t="inlineStr">
        <is>
          <t>ÖREBRO LÄN</t>
        </is>
      </c>
      <c r="E492" t="inlineStr">
        <is>
          <t>LINDESBERG</t>
        </is>
      </c>
      <c r="F492" t="inlineStr">
        <is>
          <t>Sveaskog</t>
        </is>
      </c>
      <c r="G492" t="n">
        <v>1.4</v>
      </c>
      <c r="H492" t="n">
        <v>0</v>
      </c>
      <c r="I492" t="n">
        <v>0</v>
      </c>
      <c r="J492" t="n">
        <v>0</v>
      </c>
      <c r="K492" t="n">
        <v>0</v>
      </c>
      <c r="L492" t="n">
        <v>0</v>
      </c>
      <c r="M492" t="n">
        <v>0</v>
      </c>
      <c r="N492" t="n">
        <v>0</v>
      </c>
      <c r="O492" t="n">
        <v>0</v>
      </c>
      <c r="P492" t="n">
        <v>0</v>
      </c>
      <c r="Q492" t="n">
        <v>0</v>
      </c>
      <c r="R492" s="2" t="inlineStr"/>
    </row>
    <row r="493" ht="15" customHeight="1">
      <c r="A493" t="inlineStr">
        <is>
          <t>A 29839-2021</t>
        </is>
      </c>
      <c r="B493" s="1" t="n">
        <v>44362</v>
      </c>
      <c r="C493" s="1" t="n">
        <v>45952</v>
      </c>
      <c r="D493" t="inlineStr">
        <is>
          <t>ÖREBRO LÄN</t>
        </is>
      </c>
      <c r="E493" t="inlineStr">
        <is>
          <t>NORA</t>
        </is>
      </c>
      <c r="F493" t="inlineStr">
        <is>
          <t>Övriga Aktiebolag</t>
        </is>
      </c>
      <c r="G493" t="n">
        <v>0.6</v>
      </c>
      <c r="H493" t="n">
        <v>0</v>
      </c>
      <c r="I493" t="n">
        <v>0</v>
      </c>
      <c r="J493" t="n">
        <v>0</v>
      </c>
      <c r="K493" t="n">
        <v>0</v>
      </c>
      <c r="L493" t="n">
        <v>0</v>
      </c>
      <c r="M493" t="n">
        <v>0</v>
      </c>
      <c r="N493" t="n">
        <v>0</v>
      </c>
      <c r="O493" t="n">
        <v>0</v>
      </c>
      <c r="P493" t="n">
        <v>0</v>
      </c>
      <c r="Q493" t="n">
        <v>0</v>
      </c>
      <c r="R493" s="2" t="inlineStr"/>
    </row>
    <row r="494" ht="15" customHeight="1">
      <c r="A494" t="inlineStr">
        <is>
          <t>A 62586-2021</t>
        </is>
      </c>
      <c r="B494" s="1" t="n">
        <v>44503</v>
      </c>
      <c r="C494" s="1" t="n">
        <v>45952</v>
      </c>
      <c r="D494" t="inlineStr">
        <is>
          <t>ÖREBRO LÄN</t>
        </is>
      </c>
      <c r="E494" t="inlineStr">
        <is>
          <t>LINDESBERG</t>
        </is>
      </c>
      <c r="G494" t="n">
        <v>3.9</v>
      </c>
      <c r="H494" t="n">
        <v>0</v>
      </c>
      <c r="I494" t="n">
        <v>0</v>
      </c>
      <c r="J494" t="n">
        <v>0</v>
      </c>
      <c r="K494" t="n">
        <v>0</v>
      </c>
      <c r="L494" t="n">
        <v>0</v>
      </c>
      <c r="M494" t="n">
        <v>0</v>
      </c>
      <c r="N494" t="n">
        <v>0</v>
      </c>
      <c r="O494" t="n">
        <v>0</v>
      </c>
      <c r="P494" t="n">
        <v>0</v>
      </c>
      <c r="Q494" t="n">
        <v>0</v>
      </c>
      <c r="R494" s="2" t="inlineStr"/>
    </row>
    <row r="495" ht="15" customHeight="1">
      <c r="A495" t="inlineStr">
        <is>
          <t>A 7365-2022</t>
        </is>
      </c>
      <c r="B495" s="1" t="n">
        <v>44606</v>
      </c>
      <c r="C495" s="1" t="n">
        <v>45952</v>
      </c>
      <c r="D495" t="inlineStr">
        <is>
          <t>ÖREBRO LÄN</t>
        </is>
      </c>
      <c r="E495" t="inlineStr">
        <is>
          <t>ÖREBRO</t>
        </is>
      </c>
      <c r="G495" t="n">
        <v>0.9</v>
      </c>
      <c r="H495" t="n">
        <v>0</v>
      </c>
      <c r="I495" t="n">
        <v>0</v>
      </c>
      <c r="J495" t="n">
        <v>0</v>
      </c>
      <c r="K495" t="n">
        <v>0</v>
      </c>
      <c r="L495" t="n">
        <v>0</v>
      </c>
      <c r="M495" t="n">
        <v>0</v>
      </c>
      <c r="N495" t="n">
        <v>0</v>
      </c>
      <c r="O495" t="n">
        <v>0</v>
      </c>
      <c r="P495" t="n">
        <v>0</v>
      </c>
      <c r="Q495" t="n">
        <v>0</v>
      </c>
      <c r="R495" s="2" t="inlineStr"/>
    </row>
    <row r="496" ht="15" customHeight="1">
      <c r="A496" t="inlineStr">
        <is>
          <t>A 7400-2022</t>
        </is>
      </c>
      <c r="B496" s="1" t="n">
        <v>44606</v>
      </c>
      <c r="C496" s="1" t="n">
        <v>45952</v>
      </c>
      <c r="D496" t="inlineStr">
        <is>
          <t>ÖREBRO LÄN</t>
        </is>
      </c>
      <c r="E496" t="inlineStr">
        <is>
          <t>ASKERSUND</t>
        </is>
      </c>
      <c r="F496" t="inlineStr">
        <is>
          <t>Sveaskog</t>
        </is>
      </c>
      <c r="G496" t="n">
        <v>0.5</v>
      </c>
      <c r="H496" t="n">
        <v>0</v>
      </c>
      <c r="I496" t="n">
        <v>0</v>
      </c>
      <c r="J496" t="n">
        <v>0</v>
      </c>
      <c r="K496" t="n">
        <v>0</v>
      </c>
      <c r="L496" t="n">
        <v>0</v>
      </c>
      <c r="M496" t="n">
        <v>0</v>
      </c>
      <c r="N496" t="n">
        <v>0</v>
      </c>
      <c r="O496" t="n">
        <v>0</v>
      </c>
      <c r="P496" t="n">
        <v>0</v>
      </c>
      <c r="Q496" t="n">
        <v>0</v>
      </c>
      <c r="R496" s="2" t="inlineStr"/>
    </row>
    <row r="497" ht="15" customHeight="1">
      <c r="A497" t="inlineStr">
        <is>
          <t>A 64901-2020</t>
        </is>
      </c>
      <c r="B497" s="1" t="n">
        <v>44167</v>
      </c>
      <c r="C497" s="1" t="n">
        <v>45952</v>
      </c>
      <c r="D497" t="inlineStr">
        <is>
          <t>ÖREBRO LÄN</t>
        </is>
      </c>
      <c r="E497" t="inlineStr">
        <is>
          <t>ASKERSUND</t>
        </is>
      </c>
      <c r="G497" t="n">
        <v>3.5</v>
      </c>
      <c r="H497" t="n">
        <v>0</v>
      </c>
      <c r="I497" t="n">
        <v>0</v>
      </c>
      <c r="J497" t="n">
        <v>0</v>
      </c>
      <c r="K497" t="n">
        <v>0</v>
      </c>
      <c r="L497" t="n">
        <v>0</v>
      </c>
      <c r="M497" t="n">
        <v>0</v>
      </c>
      <c r="N497" t="n">
        <v>0</v>
      </c>
      <c r="O497" t="n">
        <v>0</v>
      </c>
      <c r="P497" t="n">
        <v>0</v>
      </c>
      <c r="Q497" t="n">
        <v>0</v>
      </c>
      <c r="R497" s="2" t="inlineStr"/>
    </row>
    <row r="498" ht="15" customHeight="1">
      <c r="A498" t="inlineStr">
        <is>
          <t>A 11571-2021</t>
        </is>
      </c>
      <c r="B498" s="1" t="n">
        <v>44264</v>
      </c>
      <c r="C498" s="1" t="n">
        <v>45952</v>
      </c>
      <c r="D498" t="inlineStr">
        <is>
          <t>ÖREBRO LÄN</t>
        </is>
      </c>
      <c r="E498" t="inlineStr">
        <is>
          <t>HÄLLEFORS</t>
        </is>
      </c>
      <c r="G498" t="n">
        <v>0.6</v>
      </c>
      <c r="H498" t="n">
        <v>0</v>
      </c>
      <c r="I498" t="n">
        <v>0</v>
      </c>
      <c r="J498" t="n">
        <v>0</v>
      </c>
      <c r="K498" t="n">
        <v>0</v>
      </c>
      <c r="L498" t="n">
        <v>0</v>
      </c>
      <c r="M498" t="n">
        <v>0</v>
      </c>
      <c r="N498" t="n">
        <v>0</v>
      </c>
      <c r="O498" t="n">
        <v>0</v>
      </c>
      <c r="P498" t="n">
        <v>0</v>
      </c>
      <c r="Q498" t="n">
        <v>0</v>
      </c>
      <c r="R498" s="2" t="inlineStr"/>
    </row>
    <row r="499" ht="15" customHeight="1">
      <c r="A499" t="inlineStr">
        <is>
          <t>A 4531-2021</t>
        </is>
      </c>
      <c r="B499" s="1" t="n">
        <v>44229</v>
      </c>
      <c r="C499" s="1" t="n">
        <v>45952</v>
      </c>
      <c r="D499" t="inlineStr">
        <is>
          <t>ÖREBRO LÄN</t>
        </is>
      </c>
      <c r="E499" t="inlineStr">
        <is>
          <t>ASKERSUND</t>
        </is>
      </c>
      <c r="G499" t="n">
        <v>3.3</v>
      </c>
      <c r="H499" t="n">
        <v>0</v>
      </c>
      <c r="I499" t="n">
        <v>0</v>
      </c>
      <c r="J499" t="n">
        <v>0</v>
      </c>
      <c r="K499" t="n">
        <v>0</v>
      </c>
      <c r="L499" t="n">
        <v>0</v>
      </c>
      <c r="M499" t="n">
        <v>0</v>
      </c>
      <c r="N499" t="n">
        <v>0</v>
      </c>
      <c r="O499" t="n">
        <v>0</v>
      </c>
      <c r="P499" t="n">
        <v>0</v>
      </c>
      <c r="Q499" t="n">
        <v>0</v>
      </c>
      <c r="R499" s="2" t="inlineStr"/>
    </row>
    <row r="500" ht="15" customHeight="1">
      <c r="A500" t="inlineStr">
        <is>
          <t>A 33779-2021</t>
        </is>
      </c>
      <c r="B500" s="1" t="n">
        <v>44378.54952546296</v>
      </c>
      <c r="C500" s="1" t="n">
        <v>45952</v>
      </c>
      <c r="D500" t="inlineStr">
        <is>
          <t>ÖREBRO LÄN</t>
        </is>
      </c>
      <c r="E500" t="inlineStr">
        <is>
          <t>ÖREBRO</t>
        </is>
      </c>
      <c r="F500" t="inlineStr">
        <is>
          <t>Kommuner</t>
        </is>
      </c>
      <c r="G500" t="n">
        <v>4.5</v>
      </c>
      <c r="H500" t="n">
        <v>0</v>
      </c>
      <c r="I500" t="n">
        <v>0</v>
      </c>
      <c r="J500" t="n">
        <v>0</v>
      </c>
      <c r="K500" t="n">
        <v>0</v>
      </c>
      <c r="L500" t="n">
        <v>0</v>
      </c>
      <c r="M500" t="n">
        <v>0</v>
      </c>
      <c r="N500" t="n">
        <v>0</v>
      </c>
      <c r="O500" t="n">
        <v>0</v>
      </c>
      <c r="P500" t="n">
        <v>0</v>
      </c>
      <c r="Q500" t="n">
        <v>0</v>
      </c>
      <c r="R500" s="2" t="inlineStr"/>
    </row>
    <row r="501" ht="15" customHeight="1">
      <c r="A501" t="inlineStr">
        <is>
          <t>A 8555-2022</t>
        </is>
      </c>
      <c r="B501" s="1" t="n">
        <v>44613</v>
      </c>
      <c r="C501" s="1" t="n">
        <v>45952</v>
      </c>
      <c r="D501" t="inlineStr">
        <is>
          <t>ÖREBRO LÄN</t>
        </is>
      </c>
      <c r="E501" t="inlineStr">
        <is>
          <t>LINDESBERG</t>
        </is>
      </c>
      <c r="G501" t="n">
        <v>8.1</v>
      </c>
      <c r="H501" t="n">
        <v>0</v>
      </c>
      <c r="I501" t="n">
        <v>0</v>
      </c>
      <c r="J501" t="n">
        <v>0</v>
      </c>
      <c r="K501" t="n">
        <v>0</v>
      </c>
      <c r="L501" t="n">
        <v>0</v>
      </c>
      <c r="M501" t="n">
        <v>0</v>
      </c>
      <c r="N501" t="n">
        <v>0</v>
      </c>
      <c r="O501" t="n">
        <v>0</v>
      </c>
      <c r="P501" t="n">
        <v>0</v>
      </c>
      <c r="Q501" t="n">
        <v>0</v>
      </c>
      <c r="R501" s="2" t="inlineStr"/>
    </row>
    <row r="502" ht="15" customHeight="1">
      <c r="A502" t="inlineStr">
        <is>
          <t>A 51468-2021</t>
        </is>
      </c>
      <c r="B502" s="1" t="n">
        <v>44462</v>
      </c>
      <c r="C502" s="1" t="n">
        <v>45952</v>
      </c>
      <c r="D502" t="inlineStr">
        <is>
          <t>ÖREBRO LÄN</t>
        </is>
      </c>
      <c r="E502" t="inlineStr">
        <is>
          <t>LINDESBERG</t>
        </is>
      </c>
      <c r="F502" t="inlineStr">
        <is>
          <t>Kyrkan</t>
        </is>
      </c>
      <c r="G502" t="n">
        <v>0.8</v>
      </c>
      <c r="H502" t="n">
        <v>0</v>
      </c>
      <c r="I502" t="n">
        <v>0</v>
      </c>
      <c r="J502" t="n">
        <v>0</v>
      </c>
      <c r="K502" t="n">
        <v>0</v>
      </c>
      <c r="L502" t="n">
        <v>0</v>
      </c>
      <c r="M502" t="n">
        <v>0</v>
      </c>
      <c r="N502" t="n">
        <v>0</v>
      </c>
      <c r="O502" t="n">
        <v>0</v>
      </c>
      <c r="P502" t="n">
        <v>0</v>
      </c>
      <c r="Q502" t="n">
        <v>0</v>
      </c>
      <c r="R502" s="2" t="inlineStr"/>
    </row>
    <row r="503" ht="15" customHeight="1">
      <c r="A503" t="inlineStr">
        <is>
          <t>A 35739-2021</t>
        </is>
      </c>
      <c r="B503" s="1" t="n">
        <v>44386</v>
      </c>
      <c r="C503" s="1" t="n">
        <v>45952</v>
      </c>
      <c r="D503" t="inlineStr">
        <is>
          <t>ÖREBRO LÄN</t>
        </is>
      </c>
      <c r="E503" t="inlineStr">
        <is>
          <t>LINDESBERG</t>
        </is>
      </c>
      <c r="G503" t="n">
        <v>5.5</v>
      </c>
      <c r="H503" t="n">
        <v>0</v>
      </c>
      <c r="I503" t="n">
        <v>0</v>
      </c>
      <c r="J503" t="n">
        <v>0</v>
      </c>
      <c r="K503" t="n">
        <v>0</v>
      </c>
      <c r="L503" t="n">
        <v>0</v>
      </c>
      <c r="M503" t="n">
        <v>0</v>
      </c>
      <c r="N503" t="n">
        <v>0</v>
      </c>
      <c r="O503" t="n">
        <v>0</v>
      </c>
      <c r="P503" t="n">
        <v>0</v>
      </c>
      <c r="Q503" t="n">
        <v>0</v>
      </c>
      <c r="R503" s="2" t="inlineStr"/>
    </row>
    <row r="504" ht="15" customHeight="1">
      <c r="A504" t="inlineStr">
        <is>
          <t>A 64133-2021</t>
        </is>
      </c>
      <c r="B504" s="1" t="n">
        <v>44510.50043981482</v>
      </c>
      <c r="C504" s="1" t="n">
        <v>45952</v>
      </c>
      <c r="D504" t="inlineStr">
        <is>
          <t>ÖREBRO LÄN</t>
        </is>
      </c>
      <c r="E504" t="inlineStr">
        <is>
          <t>KARLSKOGA</t>
        </is>
      </c>
      <c r="G504" t="n">
        <v>3.7</v>
      </c>
      <c r="H504" t="n">
        <v>0</v>
      </c>
      <c r="I504" t="n">
        <v>0</v>
      </c>
      <c r="J504" t="n">
        <v>0</v>
      </c>
      <c r="K504" t="n">
        <v>0</v>
      </c>
      <c r="L504" t="n">
        <v>0</v>
      </c>
      <c r="M504" t="n">
        <v>0</v>
      </c>
      <c r="N504" t="n">
        <v>0</v>
      </c>
      <c r="O504" t="n">
        <v>0</v>
      </c>
      <c r="P504" t="n">
        <v>0</v>
      </c>
      <c r="Q504" t="n">
        <v>0</v>
      </c>
      <c r="R504" s="2" t="inlineStr"/>
    </row>
    <row r="505" ht="15" customHeight="1">
      <c r="A505" t="inlineStr">
        <is>
          <t>A 1957-2021</t>
        </is>
      </c>
      <c r="B505" s="1" t="n">
        <v>44210</v>
      </c>
      <c r="C505" s="1" t="n">
        <v>45952</v>
      </c>
      <c r="D505" t="inlineStr">
        <is>
          <t>ÖREBRO LÄN</t>
        </is>
      </c>
      <c r="E505" t="inlineStr">
        <is>
          <t>LINDESBERG</t>
        </is>
      </c>
      <c r="G505" t="n">
        <v>4.6</v>
      </c>
      <c r="H505" t="n">
        <v>0</v>
      </c>
      <c r="I505" t="n">
        <v>0</v>
      </c>
      <c r="J505" t="n">
        <v>0</v>
      </c>
      <c r="K505" t="n">
        <v>0</v>
      </c>
      <c r="L505" t="n">
        <v>0</v>
      </c>
      <c r="M505" t="n">
        <v>0</v>
      </c>
      <c r="N505" t="n">
        <v>0</v>
      </c>
      <c r="O505" t="n">
        <v>0</v>
      </c>
      <c r="P505" t="n">
        <v>0</v>
      </c>
      <c r="Q505" t="n">
        <v>0</v>
      </c>
      <c r="R505" s="2" t="inlineStr"/>
    </row>
    <row r="506" ht="15" customHeight="1">
      <c r="A506" t="inlineStr">
        <is>
          <t>A 7188-2021</t>
        </is>
      </c>
      <c r="B506" s="1" t="n">
        <v>44238</v>
      </c>
      <c r="C506" s="1" t="n">
        <v>45952</v>
      </c>
      <c r="D506" t="inlineStr">
        <is>
          <t>ÖREBRO LÄN</t>
        </is>
      </c>
      <c r="E506" t="inlineStr">
        <is>
          <t>HALLSBERG</t>
        </is>
      </c>
      <c r="F506" t="inlineStr">
        <is>
          <t>Övriga Aktiebolag</t>
        </is>
      </c>
      <c r="G506" t="n">
        <v>1.8</v>
      </c>
      <c r="H506" t="n">
        <v>0</v>
      </c>
      <c r="I506" t="n">
        <v>0</v>
      </c>
      <c r="J506" t="n">
        <v>0</v>
      </c>
      <c r="K506" t="n">
        <v>0</v>
      </c>
      <c r="L506" t="n">
        <v>0</v>
      </c>
      <c r="M506" t="n">
        <v>0</v>
      </c>
      <c r="N506" t="n">
        <v>0</v>
      </c>
      <c r="O506" t="n">
        <v>0</v>
      </c>
      <c r="P506" t="n">
        <v>0</v>
      </c>
      <c r="Q506" t="n">
        <v>0</v>
      </c>
      <c r="R506" s="2" t="inlineStr"/>
    </row>
    <row r="507" ht="15" customHeight="1">
      <c r="A507" t="inlineStr">
        <is>
          <t>A 56014-2022</t>
        </is>
      </c>
      <c r="B507" s="1" t="n">
        <v>44889.51722222222</v>
      </c>
      <c r="C507" s="1" t="n">
        <v>45952</v>
      </c>
      <c r="D507" t="inlineStr">
        <is>
          <t>ÖREBRO LÄN</t>
        </is>
      </c>
      <c r="E507" t="inlineStr">
        <is>
          <t>ASKERSUND</t>
        </is>
      </c>
      <c r="G507" t="n">
        <v>0.6</v>
      </c>
      <c r="H507" t="n">
        <v>0</v>
      </c>
      <c r="I507" t="n">
        <v>0</v>
      </c>
      <c r="J507" t="n">
        <v>0</v>
      </c>
      <c r="K507" t="n">
        <v>0</v>
      </c>
      <c r="L507" t="n">
        <v>0</v>
      </c>
      <c r="M507" t="n">
        <v>0</v>
      </c>
      <c r="N507" t="n">
        <v>0</v>
      </c>
      <c r="O507" t="n">
        <v>0</v>
      </c>
      <c r="P507" t="n">
        <v>0</v>
      </c>
      <c r="Q507" t="n">
        <v>0</v>
      </c>
      <c r="R507" s="2" t="inlineStr"/>
    </row>
    <row r="508" ht="15" customHeight="1">
      <c r="A508" t="inlineStr">
        <is>
          <t>A 14830-2022</t>
        </is>
      </c>
      <c r="B508" s="1" t="n">
        <v>44656</v>
      </c>
      <c r="C508" s="1" t="n">
        <v>45952</v>
      </c>
      <c r="D508" t="inlineStr">
        <is>
          <t>ÖREBRO LÄN</t>
        </is>
      </c>
      <c r="E508" t="inlineStr">
        <is>
          <t>LEKEBERG</t>
        </is>
      </c>
      <c r="G508" t="n">
        <v>2.2</v>
      </c>
      <c r="H508" t="n">
        <v>0</v>
      </c>
      <c r="I508" t="n">
        <v>0</v>
      </c>
      <c r="J508" t="n">
        <v>0</v>
      </c>
      <c r="K508" t="n">
        <v>0</v>
      </c>
      <c r="L508" t="n">
        <v>0</v>
      </c>
      <c r="M508" t="n">
        <v>0</v>
      </c>
      <c r="N508" t="n">
        <v>0</v>
      </c>
      <c r="O508" t="n">
        <v>0</v>
      </c>
      <c r="P508" t="n">
        <v>0</v>
      </c>
      <c r="Q508" t="n">
        <v>0</v>
      </c>
      <c r="R508" s="2" t="inlineStr"/>
    </row>
    <row r="509" ht="15" customHeight="1">
      <c r="A509" t="inlineStr">
        <is>
          <t>A 65592-2020</t>
        </is>
      </c>
      <c r="B509" s="1" t="n">
        <v>44173</v>
      </c>
      <c r="C509" s="1" t="n">
        <v>45952</v>
      </c>
      <c r="D509" t="inlineStr">
        <is>
          <t>ÖREBRO LÄN</t>
        </is>
      </c>
      <c r="E509" t="inlineStr">
        <is>
          <t>ÖREBRO</t>
        </is>
      </c>
      <c r="G509" t="n">
        <v>8.9</v>
      </c>
      <c r="H509" t="n">
        <v>0</v>
      </c>
      <c r="I509" t="n">
        <v>0</v>
      </c>
      <c r="J509" t="n">
        <v>0</v>
      </c>
      <c r="K509" t="n">
        <v>0</v>
      </c>
      <c r="L509" t="n">
        <v>0</v>
      </c>
      <c r="M509" t="n">
        <v>0</v>
      </c>
      <c r="N509" t="n">
        <v>0</v>
      </c>
      <c r="O509" t="n">
        <v>0</v>
      </c>
      <c r="P509" t="n">
        <v>0</v>
      </c>
      <c r="Q509" t="n">
        <v>0</v>
      </c>
      <c r="R509" s="2" t="inlineStr"/>
    </row>
    <row r="510" ht="15" customHeight="1">
      <c r="A510" t="inlineStr">
        <is>
          <t>A 40338-2021</t>
        </is>
      </c>
      <c r="B510" s="1" t="n">
        <v>44419</v>
      </c>
      <c r="C510" s="1" t="n">
        <v>45952</v>
      </c>
      <c r="D510" t="inlineStr">
        <is>
          <t>ÖREBRO LÄN</t>
        </is>
      </c>
      <c r="E510" t="inlineStr">
        <is>
          <t>NORA</t>
        </is>
      </c>
      <c r="G510" t="n">
        <v>0.7</v>
      </c>
      <c r="H510" t="n">
        <v>0</v>
      </c>
      <c r="I510" t="n">
        <v>0</v>
      </c>
      <c r="J510" t="n">
        <v>0</v>
      </c>
      <c r="K510" t="n">
        <v>0</v>
      </c>
      <c r="L510" t="n">
        <v>0</v>
      </c>
      <c r="M510" t="n">
        <v>0</v>
      </c>
      <c r="N510" t="n">
        <v>0</v>
      </c>
      <c r="O510" t="n">
        <v>0</v>
      </c>
      <c r="P510" t="n">
        <v>0</v>
      </c>
      <c r="Q510" t="n">
        <v>0</v>
      </c>
      <c r="R510" s="2" t="inlineStr"/>
    </row>
    <row r="511" ht="15" customHeight="1">
      <c r="A511" t="inlineStr">
        <is>
          <t>A 7468-2022</t>
        </is>
      </c>
      <c r="B511" s="1" t="n">
        <v>44607</v>
      </c>
      <c r="C511" s="1" t="n">
        <v>45952</v>
      </c>
      <c r="D511" t="inlineStr">
        <is>
          <t>ÖREBRO LÄN</t>
        </is>
      </c>
      <c r="E511" t="inlineStr">
        <is>
          <t>ASKERSUND</t>
        </is>
      </c>
      <c r="G511" t="n">
        <v>3.8</v>
      </c>
      <c r="H511" t="n">
        <v>0</v>
      </c>
      <c r="I511" t="n">
        <v>0</v>
      </c>
      <c r="J511" t="n">
        <v>0</v>
      </c>
      <c r="K511" t="n">
        <v>0</v>
      </c>
      <c r="L511" t="n">
        <v>0</v>
      </c>
      <c r="M511" t="n">
        <v>0</v>
      </c>
      <c r="N511" t="n">
        <v>0</v>
      </c>
      <c r="O511" t="n">
        <v>0</v>
      </c>
      <c r="P511" t="n">
        <v>0</v>
      </c>
      <c r="Q511" t="n">
        <v>0</v>
      </c>
      <c r="R511" s="2" t="inlineStr"/>
    </row>
    <row r="512" ht="15" customHeight="1">
      <c r="A512" t="inlineStr">
        <is>
          <t>A 68450-2020</t>
        </is>
      </c>
      <c r="B512" s="1" t="n">
        <v>44186</v>
      </c>
      <c r="C512" s="1" t="n">
        <v>45952</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14803-2021</t>
        </is>
      </c>
      <c r="B513" s="1" t="n">
        <v>44280</v>
      </c>
      <c r="C513" s="1" t="n">
        <v>45952</v>
      </c>
      <c r="D513" t="inlineStr">
        <is>
          <t>ÖREBRO LÄN</t>
        </is>
      </c>
      <c r="E513" t="inlineStr">
        <is>
          <t>LINDESBERG</t>
        </is>
      </c>
      <c r="G513" t="n">
        <v>2.4</v>
      </c>
      <c r="H513" t="n">
        <v>0</v>
      </c>
      <c r="I513" t="n">
        <v>0</v>
      </c>
      <c r="J513" t="n">
        <v>0</v>
      </c>
      <c r="K513" t="n">
        <v>0</v>
      </c>
      <c r="L513" t="n">
        <v>0</v>
      </c>
      <c r="M513" t="n">
        <v>0</v>
      </c>
      <c r="N513" t="n">
        <v>0</v>
      </c>
      <c r="O513" t="n">
        <v>0</v>
      </c>
      <c r="P513" t="n">
        <v>0</v>
      </c>
      <c r="Q513" t="n">
        <v>0</v>
      </c>
      <c r="R513" s="2" t="inlineStr"/>
    </row>
    <row r="514" ht="15" customHeight="1">
      <c r="A514" t="inlineStr">
        <is>
          <t>A 68719-2021</t>
        </is>
      </c>
      <c r="B514" s="1" t="n">
        <v>44529</v>
      </c>
      <c r="C514" s="1" t="n">
        <v>45952</v>
      </c>
      <c r="D514" t="inlineStr">
        <is>
          <t>ÖREBRO LÄN</t>
        </is>
      </c>
      <c r="E514" t="inlineStr">
        <is>
          <t>ASKERSUND</t>
        </is>
      </c>
      <c r="F514" t="inlineStr">
        <is>
          <t>Sveaskog</t>
        </is>
      </c>
      <c r="G514" t="n">
        <v>1.2</v>
      </c>
      <c r="H514" t="n">
        <v>0</v>
      </c>
      <c r="I514" t="n">
        <v>0</v>
      </c>
      <c r="J514" t="n">
        <v>0</v>
      </c>
      <c r="K514" t="n">
        <v>0</v>
      </c>
      <c r="L514" t="n">
        <v>0</v>
      </c>
      <c r="M514" t="n">
        <v>0</v>
      </c>
      <c r="N514" t="n">
        <v>0</v>
      </c>
      <c r="O514" t="n">
        <v>0</v>
      </c>
      <c r="P514" t="n">
        <v>0</v>
      </c>
      <c r="Q514" t="n">
        <v>0</v>
      </c>
      <c r="R514" s="2" t="inlineStr"/>
    </row>
    <row r="515" ht="15" customHeight="1">
      <c r="A515" t="inlineStr">
        <is>
          <t>A 58638-2020</t>
        </is>
      </c>
      <c r="B515" s="1" t="n">
        <v>44145</v>
      </c>
      <c r="C515" s="1" t="n">
        <v>45952</v>
      </c>
      <c r="D515" t="inlineStr">
        <is>
          <t>ÖREBRO LÄN</t>
        </is>
      </c>
      <c r="E515" t="inlineStr">
        <is>
          <t>LINDESBERG</t>
        </is>
      </c>
      <c r="G515" t="n">
        <v>2.9</v>
      </c>
      <c r="H515" t="n">
        <v>0</v>
      </c>
      <c r="I515" t="n">
        <v>0</v>
      </c>
      <c r="J515" t="n">
        <v>0</v>
      </c>
      <c r="K515" t="n">
        <v>0</v>
      </c>
      <c r="L515" t="n">
        <v>0</v>
      </c>
      <c r="M515" t="n">
        <v>0</v>
      </c>
      <c r="N515" t="n">
        <v>0</v>
      </c>
      <c r="O515" t="n">
        <v>0</v>
      </c>
      <c r="P515" t="n">
        <v>0</v>
      </c>
      <c r="Q515" t="n">
        <v>0</v>
      </c>
      <c r="R515" s="2" t="inlineStr"/>
    </row>
    <row r="516" ht="15" customHeight="1">
      <c r="A516" t="inlineStr">
        <is>
          <t>A 42511-2021</t>
        </is>
      </c>
      <c r="B516" s="1" t="n">
        <v>44427.75243055556</v>
      </c>
      <c r="C516" s="1" t="n">
        <v>45952</v>
      </c>
      <c r="D516" t="inlineStr">
        <is>
          <t>ÖREBRO LÄN</t>
        </is>
      </c>
      <c r="E516" t="inlineStr">
        <is>
          <t>LINDESBERG</t>
        </is>
      </c>
      <c r="F516" t="inlineStr">
        <is>
          <t>Sveaskog</t>
        </is>
      </c>
      <c r="G516" t="n">
        <v>0.6</v>
      </c>
      <c r="H516" t="n">
        <v>0</v>
      </c>
      <c r="I516" t="n">
        <v>0</v>
      </c>
      <c r="J516" t="n">
        <v>0</v>
      </c>
      <c r="K516" t="n">
        <v>0</v>
      </c>
      <c r="L516" t="n">
        <v>0</v>
      </c>
      <c r="M516" t="n">
        <v>0</v>
      </c>
      <c r="N516" t="n">
        <v>0</v>
      </c>
      <c r="O516" t="n">
        <v>0</v>
      </c>
      <c r="P516" t="n">
        <v>0</v>
      </c>
      <c r="Q516" t="n">
        <v>0</v>
      </c>
      <c r="R516" s="2" t="inlineStr"/>
    </row>
    <row r="517" ht="15" customHeight="1">
      <c r="A517" t="inlineStr">
        <is>
          <t>A 37122-2021</t>
        </is>
      </c>
      <c r="B517" s="1" t="n">
        <v>44396.35755787037</v>
      </c>
      <c r="C517" s="1" t="n">
        <v>45952</v>
      </c>
      <c r="D517" t="inlineStr">
        <is>
          <t>ÖREBRO LÄN</t>
        </is>
      </c>
      <c r="E517" t="inlineStr">
        <is>
          <t>DEGERFORS</t>
        </is>
      </c>
      <c r="G517" t="n">
        <v>5.4</v>
      </c>
      <c r="H517" t="n">
        <v>0</v>
      </c>
      <c r="I517" t="n">
        <v>0</v>
      </c>
      <c r="J517" t="n">
        <v>0</v>
      </c>
      <c r="K517" t="n">
        <v>0</v>
      </c>
      <c r="L517" t="n">
        <v>0</v>
      </c>
      <c r="M517" t="n">
        <v>0</v>
      </c>
      <c r="N517" t="n">
        <v>0</v>
      </c>
      <c r="O517" t="n">
        <v>0</v>
      </c>
      <c r="P517" t="n">
        <v>0</v>
      </c>
      <c r="Q517" t="n">
        <v>0</v>
      </c>
      <c r="R517" s="2" t="inlineStr"/>
    </row>
    <row r="518" ht="15" customHeight="1">
      <c r="A518" t="inlineStr">
        <is>
          <t>A 17078-2021</t>
        </is>
      </c>
      <c r="B518" s="1" t="n">
        <v>44297.74986111111</v>
      </c>
      <c r="C518" s="1" t="n">
        <v>45952</v>
      </c>
      <c r="D518" t="inlineStr">
        <is>
          <t>ÖREBRO LÄN</t>
        </is>
      </c>
      <c r="E518" t="inlineStr">
        <is>
          <t>LAXÅ</t>
        </is>
      </c>
      <c r="F518" t="inlineStr">
        <is>
          <t>Sveaskog</t>
        </is>
      </c>
      <c r="G518" t="n">
        <v>0.8</v>
      </c>
      <c r="H518" t="n">
        <v>0</v>
      </c>
      <c r="I518" t="n">
        <v>0</v>
      </c>
      <c r="J518" t="n">
        <v>0</v>
      </c>
      <c r="K518" t="n">
        <v>0</v>
      </c>
      <c r="L518" t="n">
        <v>0</v>
      </c>
      <c r="M518" t="n">
        <v>0</v>
      </c>
      <c r="N518" t="n">
        <v>0</v>
      </c>
      <c r="O518" t="n">
        <v>0</v>
      </c>
      <c r="P518" t="n">
        <v>0</v>
      </c>
      <c r="Q518" t="n">
        <v>0</v>
      </c>
      <c r="R518" s="2" t="inlineStr"/>
    </row>
    <row r="519" ht="15" customHeight="1">
      <c r="A519" t="inlineStr">
        <is>
          <t>A 45797-2021</t>
        </is>
      </c>
      <c r="B519" s="1" t="n">
        <v>44441</v>
      </c>
      <c r="C519" s="1" t="n">
        <v>45952</v>
      </c>
      <c r="D519" t="inlineStr">
        <is>
          <t>ÖREBRO LÄN</t>
        </is>
      </c>
      <c r="E519" t="inlineStr">
        <is>
          <t>LJUSNARSBERG</t>
        </is>
      </c>
      <c r="G519" t="n">
        <v>9.9</v>
      </c>
      <c r="H519" t="n">
        <v>0</v>
      </c>
      <c r="I519" t="n">
        <v>0</v>
      </c>
      <c r="J519" t="n">
        <v>0</v>
      </c>
      <c r="K519" t="n">
        <v>0</v>
      </c>
      <c r="L519" t="n">
        <v>0</v>
      </c>
      <c r="M519" t="n">
        <v>0</v>
      </c>
      <c r="N519" t="n">
        <v>0</v>
      </c>
      <c r="O519" t="n">
        <v>0</v>
      </c>
      <c r="P519" t="n">
        <v>0</v>
      </c>
      <c r="Q519" t="n">
        <v>0</v>
      </c>
      <c r="R519" s="2" t="inlineStr"/>
    </row>
    <row r="520" ht="15" customHeight="1">
      <c r="A520" t="inlineStr">
        <is>
          <t>A 45961-2021</t>
        </is>
      </c>
      <c r="B520" s="1" t="n">
        <v>44441.66886574074</v>
      </c>
      <c r="C520" s="1" t="n">
        <v>45952</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56360-2021</t>
        </is>
      </c>
      <c r="B521" s="1" t="n">
        <v>44480.42299768519</v>
      </c>
      <c r="C521" s="1" t="n">
        <v>45952</v>
      </c>
      <c r="D521" t="inlineStr">
        <is>
          <t>ÖREBRO LÄN</t>
        </is>
      </c>
      <c r="E521" t="inlineStr">
        <is>
          <t>ASKERSUND</t>
        </is>
      </c>
      <c r="F521" t="inlineStr">
        <is>
          <t>Sveaskog</t>
        </is>
      </c>
      <c r="G521" t="n">
        <v>1.7</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45952</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45952</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54954-2020</t>
        </is>
      </c>
      <c r="B524" s="1" t="n">
        <v>44129</v>
      </c>
      <c r="C524" s="1" t="n">
        <v>45952</v>
      </c>
      <c r="D524" t="inlineStr">
        <is>
          <t>ÖREBRO LÄN</t>
        </is>
      </c>
      <c r="E524" t="inlineStr">
        <is>
          <t>LAXÅ</t>
        </is>
      </c>
      <c r="G524" t="n">
        <v>0.9</v>
      </c>
      <c r="H524" t="n">
        <v>0</v>
      </c>
      <c r="I524" t="n">
        <v>0</v>
      </c>
      <c r="J524" t="n">
        <v>0</v>
      </c>
      <c r="K524" t="n">
        <v>0</v>
      </c>
      <c r="L524" t="n">
        <v>0</v>
      </c>
      <c r="M524" t="n">
        <v>0</v>
      </c>
      <c r="N524" t="n">
        <v>0</v>
      </c>
      <c r="O524" t="n">
        <v>0</v>
      </c>
      <c r="P524" t="n">
        <v>0</v>
      </c>
      <c r="Q524" t="n">
        <v>0</v>
      </c>
      <c r="R524" s="2" t="inlineStr"/>
    </row>
    <row r="525" ht="15" customHeight="1">
      <c r="A525" t="inlineStr">
        <is>
          <t>A 43153-2021</t>
        </is>
      </c>
      <c r="B525" s="1" t="n">
        <v>44431.69723379629</v>
      </c>
      <c r="C525" s="1" t="n">
        <v>45952</v>
      </c>
      <c r="D525" t="inlineStr">
        <is>
          <t>ÖREBRO LÄN</t>
        </is>
      </c>
      <c r="E525" t="inlineStr">
        <is>
          <t>LINDESBERG</t>
        </is>
      </c>
      <c r="F525" t="inlineStr">
        <is>
          <t>Sveaskog</t>
        </is>
      </c>
      <c r="G525" t="n">
        <v>0.7</v>
      </c>
      <c r="H525" t="n">
        <v>0</v>
      </c>
      <c r="I525" t="n">
        <v>0</v>
      </c>
      <c r="J525" t="n">
        <v>0</v>
      </c>
      <c r="K525" t="n">
        <v>0</v>
      </c>
      <c r="L525" t="n">
        <v>0</v>
      </c>
      <c r="M525" t="n">
        <v>0</v>
      </c>
      <c r="N525" t="n">
        <v>0</v>
      </c>
      <c r="O525" t="n">
        <v>0</v>
      </c>
      <c r="P525" t="n">
        <v>0</v>
      </c>
      <c r="Q525" t="n">
        <v>0</v>
      </c>
      <c r="R525" s="2" t="inlineStr"/>
    </row>
    <row r="526" ht="15" customHeight="1">
      <c r="A526" t="inlineStr">
        <is>
          <t>A 64978-2021</t>
        </is>
      </c>
      <c r="B526" s="1" t="n">
        <v>44513</v>
      </c>
      <c r="C526" s="1" t="n">
        <v>45952</v>
      </c>
      <c r="D526" t="inlineStr">
        <is>
          <t>ÖREBRO LÄN</t>
        </is>
      </c>
      <c r="E526" t="inlineStr">
        <is>
          <t>LJUSNARSBERG</t>
        </is>
      </c>
      <c r="G526" t="n">
        <v>0.5</v>
      </c>
      <c r="H526" t="n">
        <v>0</v>
      </c>
      <c r="I526" t="n">
        <v>0</v>
      </c>
      <c r="J526" t="n">
        <v>0</v>
      </c>
      <c r="K526" t="n">
        <v>0</v>
      </c>
      <c r="L526" t="n">
        <v>0</v>
      </c>
      <c r="M526" t="n">
        <v>0</v>
      </c>
      <c r="N526" t="n">
        <v>0</v>
      </c>
      <c r="O526" t="n">
        <v>0</v>
      </c>
      <c r="P526" t="n">
        <v>0</v>
      </c>
      <c r="Q526" t="n">
        <v>0</v>
      </c>
      <c r="R526" s="2" t="inlineStr"/>
    </row>
    <row r="527" ht="15" customHeight="1">
      <c r="A527" t="inlineStr">
        <is>
          <t>A 23159-2021</t>
        </is>
      </c>
      <c r="B527" s="1" t="n">
        <v>44332</v>
      </c>
      <c r="C527" s="1" t="n">
        <v>45952</v>
      </c>
      <c r="D527" t="inlineStr">
        <is>
          <t>ÖREBRO LÄN</t>
        </is>
      </c>
      <c r="E527" t="inlineStr">
        <is>
          <t>LINDESBERG</t>
        </is>
      </c>
      <c r="G527" t="n">
        <v>0.6</v>
      </c>
      <c r="H527" t="n">
        <v>0</v>
      </c>
      <c r="I527" t="n">
        <v>0</v>
      </c>
      <c r="J527" t="n">
        <v>0</v>
      </c>
      <c r="K527" t="n">
        <v>0</v>
      </c>
      <c r="L527" t="n">
        <v>0</v>
      </c>
      <c r="M527" t="n">
        <v>0</v>
      </c>
      <c r="N527" t="n">
        <v>0</v>
      </c>
      <c r="O527" t="n">
        <v>0</v>
      </c>
      <c r="P527" t="n">
        <v>0</v>
      </c>
      <c r="Q527" t="n">
        <v>0</v>
      </c>
      <c r="R527" s="2" t="inlineStr"/>
    </row>
    <row r="528" ht="15" customHeight="1">
      <c r="A528" t="inlineStr">
        <is>
          <t>A 34137-2021</t>
        </is>
      </c>
      <c r="B528" s="1" t="n">
        <v>44379</v>
      </c>
      <c r="C528" s="1" t="n">
        <v>45952</v>
      </c>
      <c r="D528" t="inlineStr">
        <is>
          <t>ÖREBRO LÄN</t>
        </is>
      </c>
      <c r="E528" t="inlineStr">
        <is>
          <t>LAXÅ</t>
        </is>
      </c>
      <c r="F528" t="inlineStr">
        <is>
          <t>Sveaskog</t>
        </is>
      </c>
      <c r="G528" t="n">
        <v>1.1</v>
      </c>
      <c r="H528" t="n">
        <v>0</v>
      </c>
      <c r="I528" t="n">
        <v>0</v>
      </c>
      <c r="J528" t="n">
        <v>0</v>
      </c>
      <c r="K528" t="n">
        <v>0</v>
      </c>
      <c r="L528" t="n">
        <v>0</v>
      </c>
      <c r="M528" t="n">
        <v>0</v>
      </c>
      <c r="N528" t="n">
        <v>0</v>
      </c>
      <c r="O528" t="n">
        <v>0</v>
      </c>
      <c r="P528" t="n">
        <v>0</v>
      </c>
      <c r="Q528" t="n">
        <v>0</v>
      </c>
      <c r="R528" s="2" t="inlineStr"/>
    </row>
    <row r="529" ht="15" customHeight="1">
      <c r="A529" t="inlineStr">
        <is>
          <t>A 64115-2021</t>
        </is>
      </c>
      <c r="B529" s="1" t="n">
        <v>44509</v>
      </c>
      <c r="C529" s="1" t="n">
        <v>45952</v>
      </c>
      <c r="D529" t="inlineStr">
        <is>
          <t>ÖREBRO LÄN</t>
        </is>
      </c>
      <c r="E529" t="inlineStr">
        <is>
          <t>ASKERSUND</t>
        </is>
      </c>
      <c r="G529" t="n">
        <v>3.7</v>
      </c>
      <c r="H529" t="n">
        <v>0</v>
      </c>
      <c r="I529" t="n">
        <v>0</v>
      </c>
      <c r="J529" t="n">
        <v>0</v>
      </c>
      <c r="K529" t="n">
        <v>0</v>
      </c>
      <c r="L529" t="n">
        <v>0</v>
      </c>
      <c r="M529" t="n">
        <v>0</v>
      </c>
      <c r="N529" t="n">
        <v>0</v>
      </c>
      <c r="O529" t="n">
        <v>0</v>
      </c>
      <c r="P529" t="n">
        <v>0</v>
      </c>
      <c r="Q529" t="n">
        <v>0</v>
      </c>
      <c r="R529" s="2" t="inlineStr"/>
    </row>
    <row r="530" ht="15" customHeight="1">
      <c r="A530" t="inlineStr">
        <is>
          <t>A 9172-2022</t>
        </is>
      </c>
      <c r="B530" s="1" t="n">
        <v>44615</v>
      </c>
      <c r="C530" s="1" t="n">
        <v>45952</v>
      </c>
      <c r="D530" t="inlineStr">
        <is>
          <t>ÖREBRO LÄN</t>
        </is>
      </c>
      <c r="E530" t="inlineStr">
        <is>
          <t>ASKERSUND</t>
        </is>
      </c>
      <c r="G530" t="n">
        <v>2</v>
      </c>
      <c r="H530" t="n">
        <v>0</v>
      </c>
      <c r="I530" t="n">
        <v>0</v>
      </c>
      <c r="J530" t="n">
        <v>0</v>
      </c>
      <c r="K530" t="n">
        <v>0</v>
      </c>
      <c r="L530" t="n">
        <v>0</v>
      </c>
      <c r="M530" t="n">
        <v>0</v>
      </c>
      <c r="N530" t="n">
        <v>0</v>
      </c>
      <c r="O530" t="n">
        <v>0</v>
      </c>
      <c r="P530" t="n">
        <v>0</v>
      </c>
      <c r="Q530" t="n">
        <v>0</v>
      </c>
      <c r="R530" s="2" t="inlineStr"/>
    </row>
    <row r="531" ht="15" customHeight="1">
      <c r="A531" t="inlineStr">
        <is>
          <t>A 17077-2021</t>
        </is>
      </c>
      <c r="B531" s="1" t="n">
        <v>44297</v>
      </c>
      <c r="C531" s="1" t="n">
        <v>45952</v>
      </c>
      <c r="D531" t="inlineStr">
        <is>
          <t>ÖREBRO LÄN</t>
        </is>
      </c>
      <c r="E531" t="inlineStr">
        <is>
          <t>LAXÅ</t>
        </is>
      </c>
      <c r="F531" t="inlineStr">
        <is>
          <t>Sveaskog</t>
        </is>
      </c>
      <c r="G531" t="n">
        <v>2.2</v>
      </c>
      <c r="H531" t="n">
        <v>0</v>
      </c>
      <c r="I531" t="n">
        <v>0</v>
      </c>
      <c r="J531" t="n">
        <v>0</v>
      </c>
      <c r="K531" t="n">
        <v>0</v>
      </c>
      <c r="L531" t="n">
        <v>0</v>
      </c>
      <c r="M531" t="n">
        <v>0</v>
      </c>
      <c r="N531" t="n">
        <v>0</v>
      </c>
      <c r="O531" t="n">
        <v>0</v>
      </c>
      <c r="P531" t="n">
        <v>0</v>
      </c>
      <c r="Q531" t="n">
        <v>0</v>
      </c>
      <c r="R531" s="2" t="inlineStr"/>
    </row>
    <row r="532" ht="15" customHeight="1">
      <c r="A532" t="inlineStr">
        <is>
          <t>A 24045-2021</t>
        </is>
      </c>
      <c r="B532" s="1" t="n">
        <v>44336.37702546296</v>
      </c>
      <c r="C532" s="1" t="n">
        <v>45952</v>
      </c>
      <c r="D532" t="inlineStr">
        <is>
          <t>ÖREBRO LÄN</t>
        </is>
      </c>
      <c r="E532" t="inlineStr">
        <is>
          <t>HALLSBERG</t>
        </is>
      </c>
      <c r="G532" t="n">
        <v>0.5</v>
      </c>
      <c r="H532" t="n">
        <v>0</v>
      </c>
      <c r="I532" t="n">
        <v>0</v>
      </c>
      <c r="J532" t="n">
        <v>0</v>
      </c>
      <c r="K532" t="n">
        <v>0</v>
      </c>
      <c r="L532" t="n">
        <v>0</v>
      </c>
      <c r="M532" t="n">
        <v>0</v>
      </c>
      <c r="N532" t="n">
        <v>0</v>
      </c>
      <c r="O532" t="n">
        <v>0</v>
      </c>
      <c r="P532" t="n">
        <v>0</v>
      </c>
      <c r="Q532" t="n">
        <v>0</v>
      </c>
      <c r="R532" s="2" t="inlineStr"/>
    </row>
    <row r="533" ht="15" customHeight="1">
      <c r="A533" t="inlineStr">
        <is>
          <t>A 33157-2021</t>
        </is>
      </c>
      <c r="B533" s="1" t="n">
        <v>44376.68837962963</v>
      </c>
      <c r="C533" s="1" t="n">
        <v>45952</v>
      </c>
      <c r="D533" t="inlineStr">
        <is>
          <t>ÖREBRO LÄN</t>
        </is>
      </c>
      <c r="E533" t="inlineStr">
        <is>
          <t>ASKERSUND</t>
        </is>
      </c>
      <c r="G533" t="n">
        <v>2.2</v>
      </c>
      <c r="H533" t="n">
        <v>0</v>
      </c>
      <c r="I533" t="n">
        <v>0</v>
      </c>
      <c r="J533" t="n">
        <v>0</v>
      </c>
      <c r="K533" t="n">
        <v>0</v>
      </c>
      <c r="L533" t="n">
        <v>0</v>
      </c>
      <c r="M533" t="n">
        <v>0</v>
      </c>
      <c r="N533" t="n">
        <v>0</v>
      </c>
      <c r="O533" t="n">
        <v>0</v>
      </c>
      <c r="P533" t="n">
        <v>0</v>
      </c>
      <c r="Q533" t="n">
        <v>0</v>
      </c>
      <c r="R533" s="2" t="inlineStr"/>
    </row>
    <row r="534" ht="15" customHeight="1">
      <c r="A534" t="inlineStr">
        <is>
          <t>A 17827-2021</t>
        </is>
      </c>
      <c r="B534" s="1" t="n">
        <v>44300</v>
      </c>
      <c r="C534" s="1" t="n">
        <v>45952</v>
      </c>
      <c r="D534" t="inlineStr">
        <is>
          <t>ÖREBRO LÄN</t>
        </is>
      </c>
      <c r="E534" t="inlineStr">
        <is>
          <t>LINDESBERG</t>
        </is>
      </c>
      <c r="G534" t="n">
        <v>7.5</v>
      </c>
      <c r="H534" t="n">
        <v>0</v>
      </c>
      <c r="I534" t="n">
        <v>0</v>
      </c>
      <c r="J534" t="n">
        <v>0</v>
      </c>
      <c r="K534" t="n">
        <v>0</v>
      </c>
      <c r="L534" t="n">
        <v>0</v>
      </c>
      <c r="M534" t="n">
        <v>0</v>
      </c>
      <c r="N534" t="n">
        <v>0</v>
      </c>
      <c r="O534" t="n">
        <v>0</v>
      </c>
      <c r="P534" t="n">
        <v>0</v>
      </c>
      <c r="Q534" t="n">
        <v>0</v>
      </c>
      <c r="R534" s="2" t="inlineStr"/>
    </row>
    <row r="535" ht="15" customHeight="1">
      <c r="A535" t="inlineStr">
        <is>
          <t>A 34653-2022</t>
        </is>
      </c>
      <c r="B535" s="1" t="n">
        <v>44795</v>
      </c>
      <c r="C535" s="1" t="n">
        <v>45952</v>
      </c>
      <c r="D535" t="inlineStr">
        <is>
          <t>ÖREBRO LÄN</t>
        </is>
      </c>
      <c r="E535" t="inlineStr">
        <is>
          <t>HÄLLEFORS</t>
        </is>
      </c>
      <c r="G535" t="n">
        <v>0.6</v>
      </c>
      <c r="H535" t="n">
        <v>0</v>
      </c>
      <c r="I535" t="n">
        <v>0</v>
      </c>
      <c r="J535" t="n">
        <v>0</v>
      </c>
      <c r="K535" t="n">
        <v>0</v>
      </c>
      <c r="L535" t="n">
        <v>0</v>
      </c>
      <c r="M535" t="n">
        <v>0</v>
      </c>
      <c r="N535" t="n">
        <v>0</v>
      </c>
      <c r="O535" t="n">
        <v>0</v>
      </c>
      <c r="P535" t="n">
        <v>0</v>
      </c>
      <c r="Q535" t="n">
        <v>0</v>
      </c>
      <c r="R535" s="2" t="inlineStr"/>
    </row>
    <row r="536" ht="15" customHeight="1">
      <c r="A536" t="inlineStr">
        <is>
          <t>A 23971-2022</t>
        </is>
      </c>
      <c r="B536" s="1" t="n">
        <v>44722.78552083333</v>
      </c>
      <c r="C536" s="1" t="n">
        <v>45952</v>
      </c>
      <c r="D536" t="inlineStr">
        <is>
          <t>ÖREBRO LÄN</t>
        </is>
      </c>
      <c r="E536" t="inlineStr">
        <is>
          <t>LINDESBERG</t>
        </is>
      </c>
      <c r="G536" t="n">
        <v>6.1</v>
      </c>
      <c r="H536" t="n">
        <v>0</v>
      </c>
      <c r="I536" t="n">
        <v>0</v>
      </c>
      <c r="J536" t="n">
        <v>0</v>
      </c>
      <c r="K536" t="n">
        <v>0</v>
      </c>
      <c r="L536" t="n">
        <v>0</v>
      </c>
      <c r="M536" t="n">
        <v>0</v>
      </c>
      <c r="N536" t="n">
        <v>0</v>
      </c>
      <c r="O536" t="n">
        <v>0</v>
      </c>
      <c r="P536" t="n">
        <v>0</v>
      </c>
      <c r="Q536" t="n">
        <v>0</v>
      </c>
      <c r="R536" s="2" t="inlineStr"/>
    </row>
    <row r="537" ht="15" customHeight="1">
      <c r="A537" t="inlineStr">
        <is>
          <t>A 49633-2022</t>
        </is>
      </c>
      <c r="B537" s="1" t="n">
        <v>44862.43092592592</v>
      </c>
      <c r="C537" s="1" t="n">
        <v>45952</v>
      </c>
      <c r="D537" t="inlineStr">
        <is>
          <t>ÖREBRO LÄN</t>
        </is>
      </c>
      <c r="E537" t="inlineStr">
        <is>
          <t>NORA</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51180-2021</t>
        </is>
      </c>
      <c r="B538" s="1" t="n">
        <v>44461.47516203704</v>
      </c>
      <c r="C538" s="1" t="n">
        <v>45952</v>
      </c>
      <c r="D538" t="inlineStr">
        <is>
          <t>ÖREBRO LÄN</t>
        </is>
      </c>
      <c r="E538" t="inlineStr">
        <is>
          <t>ASKERSUND</t>
        </is>
      </c>
      <c r="G538" t="n">
        <v>1.7</v>
      </c>
      <c r="H538" t="n">
        <v>0</v>
      </c>
      <c r="I538" t="n">
        <v>0</v>
      </c>
      <c r="J538" t="n">
        <v>0</v>
      </c>
      <c r="K538" t="n">
        <v>0</v>
      </c>
      <c r="L538" t="n">
        <v>0</v>
      </c>
      <c r="M538" t="n">
        <v>0</v>
      </c>
      <c r="N538" t="n">
        <v>0</v>
      </c>
      <c r="O538" t="n">
        <v>0</v>
      </c>
      <c r="P538" t="n">
        <v>0</v>
      </c>
      <c r="Q538" t="n">
        <v>0</v>
      </c>
      <c r="R538" s="2" t="inlineStr"/>
    </row>
    <row r="539" ht="15" customHeight="1">
      <c r="A539" t="inlineStr">
        <is>
          <t>A 32578-2022</t>
        </is>
      </c>
      <c r="B539" s="1" t="n">
        <v>44783</v>
      </c>
      <c r="C539" s="1" t="n">
        <v>45952</v>
      </c>
      <c r="D539" t="inlineStr">
        <is>
          <t>ÖREBRO LÄN</t>
        </is>
      </c>
      <c r="E539" t="inlineStr">
        <is>
          <t>ASKERSUND</t>
        </is>
      </c>
      <c r="G539" t="n">
        <v>5</v>
      </c>
      <c r="H539" t="n">
        <v>0</v>
      </c>
      <c r="I539" t="n">
        <v>0</v>
      </c>
      <c r="J539" t="n">
        <v>0</v>
      </c>
      <c r="K539" t="n">
        <v>0</v>
      </c>
      <c r="L539" t="n">
        <v>0</v>
      </c>
      <c r="M539" t="n">
        <v>0</v>
      </c>
      <c r="N539" t="n">
        <v>0</v>
      </c>
      <c r="O539" t="n">
        <v>0</v>
      </c>
      <c r="P539" t="n">
        <v>0</v>
      </c>
      <c r="Q539" t="n">
        <v>0</v>
      </c>
      <c r="R539" s="2" t="inlineStr"/>
    </row>
    <row r="540" ht="15" customHeight="1">
      <c r="A540" t="inlineStr">
        <is>
          <t>A 23751-2022</t>
        </is>
      </c>
      <c r="B540" s="1" t="n">
        <v>44722.36616898148</v>
      </c>
      <c r="C540" s="1" t="n">
        <v>45952</v>
      </c>
      <c r="D540" t="inlineStr">
        <is>
          <t>ÖREBRO LÄN</t>
        </is>
      </c>
      <c r="E540" t="inlineStr">
        <is>
          <t>LEKEBERG</t>
        </is>
      </c>
      <c r="G540" t="n">
        <v>0.7</v>
      </c>
      <c r="H540" t="n">
        <v>0</v>
      </c>
      <c r="I540" t="n">
        <v>0</v>
      </c>
      <c r="J540" t="n">
        <v>0</v>
      </c>
      <c r="K540" t="n">
        <v>0</v>
      </c>
      <c r="L540" t="n">
        <v>0</v>
      </c>
      <c r="M540" t="n">
        <v>0</v>
      </c>
      <c r="N540" t="n">
        <v>0</v>
      </c>
      <c r="O540" t="n">
        <v>0</v>
      </c>
      <c r="P540" t="n">
        <v>0</v>
      </c>
      <c r="Q540" t="n">
        <v>0</v>
      </c>
      <c r="R540" s="2" t="inlineStr"/>
    </row>
    <row r="541" ht="15" customHeight="1">
      <c r="A541" t="inlineStr">
        <is>
          <t>A 50599-2022</t>
        </is>
      </c>
      <c r="B541" s="1" t="n">
        <v>44861</v>
      </c>
      <c r="C541" s="1" t="n">
        <v>45952</v>
      </c>
      <c r="D541" t="inlineStr">
        <is>
          <t>ÖREBRO LÄN</t>
        </is>
      </c>
      <c r="E541" t="inlineStr">
        <is>
          <t>DEGERFORS</t>
        </is>
      </c>
      <c r="G541" t="n">
        <v>3</v>
      </c>
      <c r="H541" t="n">
        <v>0</v>
      </c>
      <c r="I541" t="n">
        <v>0</v>
      </c>
      <c r="J541" t="n">
        <v>0</v>
      </c>
      <c r="K541" t="n">
        <v>0</v>
      </c>
      <c r="L541" t="n">
        <v>0</v>
      </c>
      <c r="M541" t="n">
        <v>0</v>
      </c>
      <c r="N541" t="n">
        <v>0</v>
      </c>
      <c r="O541" t="n">
        <v>0</v>
      </c>
      <c r="P541" t="n">
        <v>0</v>
      </c>
      <c r="Q541" t="n">
        <v>0</v>
      </c>
      <c r="R541" s="2" t="inlineStr"/>
    </row>
    <row r="542" ht="15" customHeight="1">
      <c r="A542" t="inlineStr">
        <is>
          <t>A 64156-2021</t>
        </is>
      </c>
      <c r="B542" s="1" t="n">
        <v>44510.55405092592</v>
      </c>
      <c r="C542" s="1" t="n">
        <v>45952</v>
      </c>
      <c r="D542" t="inlineStr">
        <is>
          <t>ÖREBRO LÄN</t>
        </is>
      </c>
      <c r="E542" t="inlineStr">
        <is>
          <t>LEKEBERG</t>
        </is>
      </c>
      <c r="F542" t="inlineStr">
        <is>
          <t>Sveaskog</t>
        </is>
      </c>
      <c r="G542" t="n">
        <v>3.9</v>
      </c>
      <c r="H542" t="n">
        <v>0</v>
      </c>
      <c r="I542" t="n">
        <v>0</v>
      </c>
      <c r="J542" t="n">
        <v>0</v>
      </c>
      <c r="K542" t="n">
        <v>0</v>
      </c>
      <c r="L542" t="n">
        <v>0</v>
      </c>
      <c r="M542" t="n">
        <v>0</v>
      </c>
      <c r="N542" t="n">
        <v>0</v>
      </c>
      <c r="O542" t="n">
        <v>0</v>
      </c>
      <c r="P542" t="n">
        <v>0</v>
      </c>
      <c r="Q542" t="n">
        <v>0</v>
      </c>
      <c r="R542" s="2" t="inlineStr"/>
    </row>
    <row r="543" ht="15" customHeight="1">
      <c r="A543" t="inlineStr">
        <is>
          <t>A 50137-2021</t>
        </is>
      </c>
      <c r="B543" s="1" t="n">
        <v>44456</v>
      </c>
      <c r="C543" s="1" t="n">
        <v>45952</v>
      </c>
      <c r="D543" t="inlineStr">
        <is>
          <t>ÖREBRO LÄN</t>
        </is>
      </c>
      <c r="E543" t="inlineStr">
        <is>
          <t>ASKERSUND</t>
        </is>
      </c>
      <c r="G543" t="n">
        <v>1.6</v>
      </c>
      <c r="H543" t="n">
        <v>0</v>
      </c>
      <c r="I543" t="n">
        <v>0</v>
      </c>
      <c r="J543" t="n">
        <v>0</v>
      </c>
      <c r="K543" t="n">
        <v>0</v>
      </c>
      <c r="L543" t="n">
        <v>0</v>
      </c>
      <c r="M543" t="n">
        <v>0</v>
      </c>
      <c r="N543" t="n">
        <v>0</v>
      </c>
      <c r="O543" t="n">
        <v>0</v>
      </c>
      <c r="P543" t="n">
        <v>0</v>
      </c>
      <c r="Q543" t="n">
        <v>0</v>
      </c>
      <c r="R543" s="2" t="inlineStr"/>
    </row>
    <row r="544" ht="15" customHeight="1">
      <c r="A544" t="inlineStr">
        <is>
          <t>A 50251-2021</t>
        </is>
      </c>
      <c r="B544" s="1" t="n">
        <v>44458</v>
      </c>
      <c r="C544" s="1" t="n">
        <v>45952</v>
      </c>
      <c r="D544" t="inlineStr">
        <is>
          <t>ÖREBRO LÄN</t>
        </is>
      </c>
      <c r="E544" t="inlineStr">
        <is>
          <t>ASKERSUND</t>
        </is>
      </c>
      <c r="G544" t="n">
        <v>0.2</v>
      </c>
      <c r="H544" t="n">
        <v>0</v>
      </c>
      <c r="I544" t="n">
        <v>0</v>
      </c>
      <c r="J544" t="n">
        <v>0</v>
      </c>
      <c r="K544" t="n">
        <v>0</v>
      </c>
      <c r="L544" t="n">
        <v>0</v>
      </c>
      <c r="M544" t="n">
        <v>0</v>
      </c>
      <c r="N544" t="n">
        <v>0</v>
      </c>
      <c r="O544" t="n">
        <v>0</v>
      </c>
      <c r="P544" t="n">
        <v>0</v>
      </c>
      <c r="Q544" t="n">
        <v>0</v>
      </c>
      <c r="R544" s="2" t="inlineStr"/>
    </row>
    <row r="545" ht="15" customHeight="1">
      <c r="A545" t="inlineStr">
        <is>
          <t>A 21771-2021</t>
        </is>
      </c>
      <c r="B545" s="1" t="n">
        <v>44322</v>
      </c>
      <c r="C545" s="1" t="n">
        <v>45952</v>
      </c>
      <c r="D545" t="inlineStr">
        <is>
          <t>ÖREBRO LÄN</t>
        </is>
      </c>
      <c r="E545" t="inlineStr">
        <is>
          <t>LAXÅ</t>
        </is>
      </c>
      <c r="F545" t="inlineStr">
        <is>
          <t>Sveaskog</t>
        </is>
      </c>
      <c r="G545" t="n">
        <v>4.8</v>
      </c>
      <c r="H545" t="n">
        <v>0</v>
      </c>
      <c r="I545" t="n">
        <v>0</v>
      </c>
      <c r="J545" t="n">
        <v>0</v>
      </c>
      <c r="K545" t="n">
        <v>0</v>
      </c>
      <c r="L545" t="n">
        <v>0</v>
      </c>
      <c r="M545" t="n">
        <v>0</v>
      </c>
      <c r="N545" t="n">
        <v>0</v>
      </c>
      <c r="O545" t="n">
        <v>0</v>
      </c>
      <c r="P545" t="n">
        <v>0</v>
      </c>
      <c r="Q545" t="n">
        <v>0</v>
      </c>
      <c r="R545" s="2" t="inlineStr"/>
    </row>
    <row r="546" ht="15" customHeight="1">
      <c r="A546" t="inlineStr">
        <is>
          <t>A 13193-2021</t>
        </is>
      </c>
      <c r="B546" s="1" t="n">
        <v>44272.55052083333</v>
      </c>
      <c r="C546" s="1" t="n">
        <v>45952</v>
      </c>
      <c r="D546" t="inlineStr">
        <is>
          <t>ÖREBRO LÄN</t>
        </is>
      </c>
      <c r="E546" t="inlineStr">
        <is>
          <t>ÖREBRO</t>
        </is>
      </c>
      <c r="F546" t="inlineStr">
        <is>
          <t>Övriga Aktiebolag</t>
        </is>
      </c>
      <c r="G546" t="n">
        <v>4.1</v>
      </c>
      <c r="H546" t="n">
        <v>0</v>
      </c>
      <c r="I546" t="n">
        <v>0</v>
      </c>
      <c r="J546" t="n">
        <v>0</v>
      </c>
      <c r="K546" t="n">
        <v>0</v>
      </c>
      <c r="L546" t="n">
        <v>0</v>
      </c>
      <c r="M546" t="n">
        <v>0</v>
      </c>
      <c r="N546" t="n">
        <v>0</v>
      </c>
      <c r="O546" t="n">
        <v>0</v>
      </c>
      <c r="P546" t="n">
        <v>0</v>
      </c>
      <c r="Q546" t="n">
        <v>0</v>
      </c>
      <c r="R546" s="2" t="inlineStr"/>
    </row>
    <row r="547" ht="15" customHeight="1">
      <c r="A547" t="inlineStr">
        <is>
          <t>A 23583-2022</t>
        </is>
      </c>
      <c r="B547" s="1" t="n">
        <v>44721.53951388889</v>
      </c>
      <c r="C547" s="1" t="n">
        <v>45952</v>
      </c>
      <c r="D547" t="inlineStr">
        <is>
          <t>ÖREBRO LÄN</t>
        </is>
      </c>
      <c r="E547" t="inlineStr">
        <is>
          <t>LINDESBERG</t>
        </is>
      </c>
      <c r="G547" t="n">
        <v>3.7</v>
      </c>
      <c r="H547" t="n">
        <v>0</v>
      </c>
      <c r="I547" t="n">
        <v>0</v>
      </c>
      <c r="J547" t="n">
        <v>0</v>
      </c>
      <c r="K547" t="n">
        <v>0</v>
      </c>
      <c r="L547" t="n">
        <v>0</v>
      </c>
      <c r="M547" t="n">
        <v>0</v>
      </c>
      <c r="N547" t="n">
        <v>0</v>
      </c>
      <c r="O547" t="n">
        <v>0</v>
      </c>
      <c r="P547" t="n">
        <v>0</v>
      </c>
      <c r="Q547" t="n">
        <v>0</v>
      </c>
      <c r="R547" s="2" t="inlineStr"/>
    </row>
    <row r="548" ht="15" customHeight="1">
      <c r="A548" t="inlineStr">
        <is>
          <t>A 25860-2022</t>
        </is>
      </c>
      <c r="B548" s="1" t="n">
        <v>44733</v>
      </c>
      <c r="C548" s="1" t="n">
        <v>45952</v>
      </c>
      <c r="D548" t="inlineStr">
        <is>
          <t>ÖREBRO LÄN</t>
        </is>
      </c>
      <c r="E548" t="inlineStr">
        <is>
          <t>ASKERSUND</t>
        </is>
      </c>
      <c r="G548" t="n">
        <v>0.6</v>
      </c>
      <c r="H548" t="n">
        <v>0</v>
      </c>
      <c r="I548" t="n">
        <v>0</v>
      </c>
      <c r="J548" t="n">
        <v>0</v>
      </c>
      <c r="K548" t="n">
        <v>0</v>
      </c>
      <c r="L548" t="n">
        <v>0</v>
      </c>
      <c r="M548" t="n">
        <v>0</v>
      </c>
      <c r="N548" t="n">
        <v>0</v>
      </c>
      <c r="O548" t="n">
        <v>0</v>
      </c>
      <c r="P548" t="n">
        <v>0</v>
      </c>
      <c r="Q548" t="n">
        <v>0</v>
      </c>
      <c r="R548" s="2" t="inlineStr"/>
    </row>
    <row r="549" ht="15" customHeight="1">
      <c r="A549" t="inlineStr">
        <is>
          <t>A 35673-2022</t>
        </is>
      </c>
      <c r="B549" s="1" t="n">
        <v>44799.59944444444</v>
      </c>
      <c r="C549" s="1" t="n">
        <v>45952</v>
      </c>
      <c r="D549" t="inlineStr">
        <is>
          <t>ÖREBRO LÄN</t>
        </is>
      </c>
      <c r="E549" t="inlineStr">
        <is>
          <t>NORA</t>
        </is>
      </c>
      <c r="F549" t="inlineStr">
        <is>
          <t>Sveaskog</t>
        </is>
      </c>
      <c r="G549" t="n">
        <v>0.9</v>
      </c>
      <c r="H549" t="n">
        <v>0</v>
      </c>
      <c r="I549" t="n">
        <v>0</v>
      </c>
      <c r="J549" t="n">
        <v>0</v>
      </c>
      <c r="K549" t="n">
        <v>0</v>
      </c>
      <c r="L549" t="n">
        <v>0</v>
      </c>
      <c r="M549" t="n">
        <v>0</v>
      </c>
      <c r="N549" t="n">
        <v>0</v>
      </c>
      <c r="O549" t="n">
        <v>0</v>
      </c>
      <c r="P549" t="n">
        <v>0</v>
      </c>
      <c r="Q549" t="n">
        <v>0</v>
      </c>
      <c r="R549" s="2" t="inlineStr"/>
    </row>
    <row r="550" ht="15" customHeight="1">
      <c r="A550" t="inlineStr">
        <is>
          <t>A 39709-2022</t>
        </is>
      </c>
      <c r="B550" s="1" t="n">
        <v>44818.95434027778</v>
      </c>
      <c r="C550" s="1" t="n">
        <v>45952</v>
      </c>
      <c r="D550" t="inlineStr">
        <is>
          <t>ÖREBRO LÄN</t>
        </is>
      </c>
      <c r="E550" t="inlineStr">
        <is>
          <t>NORA</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50600-2022</t>
        </is>
      </c>
      <c r="B551" s="1" t="n">
        <v>44861</v>
      </c>
      <c r="C551" s="1" t="n">
        <v>45952</v>
      </c>
      <c r="D551" t="inlineStr">
        <is>
          <t>ÖREBRO LÄN</t>
        </is>
      </c>
      <c r="E551" t="inlineStr">
        <is>
          <t>DEGERFORS</t>
        </is>
      </c>
      <c r="G551" t="n">
        <v>5.6</v>
      </c>
      <c r="H551" t="n">
        <v>0</v>
      </c>
      <c r="I551" t="n">
        <v>0</v>
      </c>
      <c r="J551" t="n">
        <v>0</v>
      </c>
      <c r="K551" t="n">
        <v>0</v>
      </c>
      <c r="L551" t="n">
        <v>0</v>
      </c>
      <c r="M551" t="n">
        <v>0</v>
      </c>
      <c r="N551" t="n">
        <v>0</v>
      </c>
      <c r="O551" t="n">
        <v>0</v>
      </c>
      <c r="P551" t="n">
        <v>0</v>
      </c>
      <c r="Q551" t="n">
        <v>0</v>
      </c>
      <c r="R551" s="2" t="inlineStr"/>
    </row>
    <row r="552" ht="15" customHeight="1">
      <c r="A552" t="inlineStr">
        <is>
          <t>A 34457-2021</t>
        </is>
      </c>
      <c r="B552" s="1" t="n">
        <v>44381</v>
      </c>
      <c r="C552" s="1" t="n">
        <v>45952</v>
      </c>
      <c r="D552" t="inlineStr">
        <is>
          <t>ÖREBRO LÄN</t>
        </is>
      </c>
      <c r="E552" t="inlineStr">
        <is>
          <t>KARLSKOGA</t>
        </is>
      </c>
      <c r="G552" t="n">
        <v>0.2</v>
      </c>
      <c r="H552" t="n">
        <v>0</v>
      </c>
      <c r="I552" t="n">
        <v>0</v>
      </c>
      <c r="J552" t="n">
        <v>0</v>
      </c>
      <c r="K552" t="n">
        <v>0</v>
      </c>
      <c r="L552" t="n">
        <v>0</v>
      </c>
      <c r="M552" t="n">
        <v>0</v>
      </c>
      <c r="N552" t="n">
        <v>0</v>
      </c>
      <c r="O552" t="n">
        <v>0</v>
      </c>
      <c r="P552" t="n">
        <v>0</v>
      </c>
      <c r="Q552" t="n">
        <v>0</v>
      </c>
      <c r="R552" s="2" t="inlineStr"/>
    </row>
    <row r="553" ht="15" customHeight="1">
      <c r="A553" t="inlineStr">
        <is>
          <t>A 31235-2021</t>
        </is>
      </c>
      <c r="B553" s="1" t="n">
        <v>44368.65681712963</v>
      </c>
      <c r="C553" s="1" t="n">
        <v>45952</v>
      </c>
      <c r="D553" t="inlineStr">
        <is>
          <t>ÖREBRO LÄN</t>
        </is>
      </c>
      <c r="E553" t="inlineStr">
        <is>
          <t>ÖREBRO</t>
        </is>
      </c>
      <c r="F553" t="inlineStr">
        <is>
          <t>Övriga Aktiebolag</t>
        </is>
      </c>
      <c r="G553" t="n">
        <v>1.5</v>
      </c>
      <c r="H553" t="n">
        <v>0</v>
      </c>
      <c r="I553" t="n">
        <v>0</v>
      </c>
      <c r="J553" t="n">
        <v>0</v>
      </c>
      <c r="K553" t="n">
        <v>0</v>
      </c>
      <c r="L553" t="n">
        <v>0</v>
      </c>
      <c r="M553" t="n">
        <v>0</v>
      </c>
      <c r="N553" t="n">
        <v>0</v>
      </c>
      <c r="O553" t="n">
        <v>0</v>
      </c>
      <c r="P553" t="n">
        <v>0</v>
      </c>
      <c r="Q553" t="n">
        <v>0</v>
      </c>
      <c r="R553" s="2" t="inlineStr"/>
    </row>
    <row r="554" ht="15" customHeight="1">
      <c r="A554" t="inlineStr">
        <is>
          <t>A 65485-2021</t>
        </is>
      </c>
      <c r="B554" s="1" t="n">
        <v>44516.35936342592</v>
      </c>
      <c r="C554" s="1" t="n">
        <v>45952</v>
      </c>
      <c r="D554" t="inlineStr">
        <is>
          <t>ÖREBRO LÄN</t>
        </is>
      </c>
      <c r="E554" t="inlineStr">
        <is>
          <t>ASKERSUND</t>
        </is>
      </c>
      <c r="F554" t="inlineStr">
        <is>
          <t>Sveaskog</t>
        </is>
      </c>
      <c r="G554" t="n">
        <v>0.5</v>
      </c>
      <c r="H554" t="n">
        <v>0</v>
      </c>
      <c r="I554" t="n">
        <v>0</v>
      </c>
      <c r="J554" t="n">
        <v>0</v>
      </c>
      <c r="K554" t="n">
        <v>0</v>
      </c>
      <c r="L554" t="n">
        <v>0</v>
      </c>
      <c r="M554" t="n">
        <v>0</v>
      </c>
      <c r="N554" t="n">
        <v>0</v>
      </c>
      <c r="O554" t="n">
        <v>0</v>
      </c>
      <c r="P554" t="n">
        <v>0</v>
      </c>
      <c r="Q554" t="n">
        <v>0</v>
      </c>
      <c r="R554" s="2" t="inlineStr"/>
    </row>
    <row r="555" ht="15" customHeight="1">
      <c r="A555" t="inlineStr">
        <is>
          <t>A 40999-2022</t>
        </is>
      </c>
      <c r="B555" s="1" t="n">
        <v>44825.50923611111</v>
      </c>
      <c r="C555" s="1" t="n">
        <v>45952</v>
      </c>
      <c r="D555" t="inlineStr">
        <is>
          <t>ÖREBRO LÄN</t>
        </is>
      </c>
      <c r="E555" t="inlineStr">
        <is>
          <t>ASKERSUND</t>
        </is>
      </c>
      <c r="G555" t="n">
        <v>0.5</v>
      </c>
      <c r="H555" t="n">
        <v>0</v>
      </c>
      <c r="I555" t="n">
        <v>0</v>
      </c>
      <c r="J555" t="n">
        <v>0</v>
      </c>
      <c r="K555" t="n">
        <v>0</v>
      </c>
      <c r="L555" t="n">
        <v>0</v>
      </c>
      <c r="M555" t="n">
        <v>0</v>
      </c>
      <c r="N555" t="n">
        <v>0</v>
      </c>
      <c r="O555" t="n">
        <v>0</v>
      </c>
      <c r="P555" t="n">
        <v>0</v>
      </c>
      <c r="Q555" t="n">
        <v>0</v>
      </c>
      <c r="R555" s="2" t="inlineStr"/>
    </row>
    <row r="556" ht="15" customHeight="1">
      <c r="A556" t="inlineStr">
        <is>
          <t>A 42185-2021</t>
        </is>
      </c>
      <c r="B556" s="1" t="n">
        <v>44426</v>
      </c>
      <c r="C556" s="1" t="n">
        <v>45952</v>
      </c>
      <c r="D556" t="inlineStr">
        <is>
          <t>ÖREBRO LÄN</t>
        </is>
      </c>
      <c r="E556" t="inlineStr">
        <is>
          <t>LAXÅ</t>
        </is>
      </c>
      <c r="F556" t="inlineStr">
        <is>
          <t>Sveaskog</t>
        </is>
      </c>
      <c r="G556" t="n">
        <v>1.5</v>
      </c>
      <c r="H556" t="n">
        <v>0</v>
      </c>
      <c r="I556" t="n">
        <v>0</v>
      </c>
      <c r="J556" t="n">
        <v>0</v>
      </c>
      <c r="K556" t="n">
        <v>0</v>
      </c>
      <c r="L556" t="n">
        <v>0</v>
      </c>
      <c r="M556" t="n">
        <v>0</v>
      </c>
      <c r="N556" t="n">
        <v>0</v>
      </c>
      <c r="O556" t="n">
        <v>0</v>
      </c>
      <c r="P556" t="n">
        <v>0</v>
      </c>
      <c r="Q556" t="n">
        <v>0</v>
      </c>
      <c r="R556" s="2" t="inlineStr"/>
    </row>
    <row r="557" ht="15" customHeight="1">
      <c r="A557" t="inlineStr">
        <is>
          <t>A 42189-2021</t>
        </is>
      </c>
      <c r="B557" s="1" t="n">
        <v>44426</v>
      </c>
      <c r="C557" s="1" t="n">
        <v>45952</v>
      </c>
      <c r="D557" t="inlineStr">
        <is>
          <t>ÖREBRO LÄN</t>
        </is>
      </c>
      <c r="E557" t="inlineStr">
        <is>
          <t>LAXÅ</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45952</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44227-2021</t>
        </is>
      </c>
      <c r="B559" s="1" t="n">
        <v>44434.92876157408</v>
      </c>
      <c r="C559" s="1" t="n">
        <v>45952</v>
      </c>
      <c r="D559" t="inlineStr">
        <is>
          <t>ÖREBRO LÄN</t>
        </is>
      </c>
      <c r="E559" t="inlineStr">
        <is>
          <t>HALLSBERG</t>
        </is>
      </c>
      <c r="G559" t="n">
        <v>3.8</v>
      </c>
      <c r="H559" t="n">
        <v>0</v>
      </c>
      <c r="I559" t="n">
        <v>0</v>
      </c>
      <c r="J559" t="n">
        <v>0</v>
      </c>
      <c r="K559" t="n">
        <v>0</v>
      </c>
      <c r="L559" t="n">
        <v>0</v>
      </c>
      <c r="M559" t="n">
        <v>0</v>
      </c>
      <c r="N559" t="n">
        <v>0</v>
      </c>
      <c r="O559" t="n">
        <v>0</v>
      </c>
      <c r="P559" t="n">
        <v>0</v>
      </c>
      <c r="Q559" t="n">
        <v>0</v>
      </c>
      <c r="R559" s="2" t="inlineStr"/>
    </row>
    <row r="560" ht="15" customHeight="1">
      <c r="A560" t="inlineStr">
        <is>
          <t>A 49743-2022</t>
        </is>
      </c>
      <c r="B560" s="1" t="n">
        <v>44862</v>
      </c>
      <c r="C560" s="1" t="n">
        <v>45952</v>
      </c>
      <c r="D560" t="inlineStr">
        <is>
          <t>ÖREBRO LÄN</t>
        </is>
      </c>
      <c r="E560" t="inlineStr">
        <is>
          <t>LINDESBERG</t>
        </is>
      </c>
      <c r="F560" t="inlineStr">
        <is>
          <t>Sveaskog</t>
        </is>
      </c>
      <c r="G560" t="n">
        <v>3.5</v>
      </c>
      <c r="H560" t="n">
        <v>0</v>
      </c>
      <c r="I560" t="n">
        <v>0</v>
      </c>
      <c r="J560" t="n">
        <v>0</v>
      </c>
      <c r="K560" t="n">
        <v>0</v>
      </c>
      <c r="L560" t="n">
        <v>0</v>
      </c>
      <c r="M560" t="n">
        <v>0</v>
      </c>
      <c r="N560" t="n">
        <v>0</v>
      </c>
      <c r="O560" t="n">
        <v>0</v>
      </c>
      <c r="P560" t="n">
        <v>0</v>
      </c>
      <c r="Q560" t="n">
        <v>0</v>
      </c>
      <c r="R560" s="2" t="inlineStr"/>
    </row>
    <row r="561" ht="15" customHeight="1">
      <c r="A561" t="inlineStr">
        <is>
          <t>A 2106-2022</t>
        </is>
      </c>
      <c r="B561" s="1" t="n">
        <v>44577.82805555555</v>
      </c>
      <c r="C561" s="1" t="n">
        <v>45952</v>
      </c>
      <c r="D561" t="inlineStr">
        <is>
          <t>ÖREBRO LÄN</t>
        </is>
      </c>
      <c r="E561" t="inlineStr">
        <is>
          <t>LINDESBERG</t>
        </is>
      </c>
      <c r="G561" t="n">
        <v>0.5</v>
      </c>
      <c r="H561" t="n">
        <v>0</v>
      </c>
      <c r="I561" t="n">
        <v>0</v>
      </c>
      <c r="J561" t="n">
        <v>0</v>
      </c>
      <c r="K561" t="n">
        <v>0</v>
      </c>
      <c r="L561" t="n">
        <v>0</v>
      </c>
      <c r="M561" t="n">
        <v>0</v>
      </c>
      <c r="N561" t="n">
        <v>0</v>
      </c>
      <c r="O561" t="n">
        <v>0</v>
      </c>
      <c r="P561" t="n">
        <v>0</v>
      </c>
      <c r="Q561" t="n">
        <v>0</v>
      </c>
      <c r="R561" s="2" t="inlineStr"/>
    </row>
    <row r="562" ht="15" customHeight="1">
      <c r="A562" t="inlineStr">
        <is>
          <t>A 45297-2022</t>
        </is>
      </c>
      <c r="B562" s="1" t="n">
        <v>44844</v>
      </c>
      <c r="C562" s="1" t="n">
        <v>45952</v>
      </c>
      <c r="D562" t="inlineStr">
        <is>
          <t>ÖREBRO LÄN</t>
        </is>
      </c>
      <c r="E562" t="inlineStr">
        <is>
          <t>ASKERSUND</t>
        </is>
      </c>
      <c r="G562" t="n">
        <v>1.2</v>
      </c>
      <c r="H562" t="n">
        <v>0</v>
      </c>
      <c r="I562" t="n">
        <v>0</v>
      </c>
      <c r="J562" t="n">
        <v>0</v>
      </c>
      <c r="K562" t="n">
        <v>0</v>
      </c>
      <c r="L562" t="n">
        <v>0</v>
      </c>
      <c r="M562" t="n">
        <v>0</v>
      </c>
      <c r="N562" t="n">
        <v>0</v>
      </c>
      <c r="O562" t="n">
        <v>0</v>
      </c>
      <c r="P562" t="n">
        <v>0</v>
      </c>
      <c r="Q562" t="n">
        <v>0</v>
      </c>
      <c r="R562" s="2" t="inlineStr"/>
    </row>
    <row r="563" ht="15" customHeight="1">
      <c r="A563" t="inlineStr">
        <is>
          <t>A 41892-2022</t>
        </is>
      </c>
      <c r="B563" s="1" t="n">
        <v>44830.33280092593</v>
      </c>
      <c r="C563" s="1" t="n">
        <v>45952</v>
      </c>
      <c r="D563" t="inlineStr">
        <is>
          <t>ÖREBRO LÄN</t>
        </is>
      </c>
      <c r="E563" t="inlineStr">
        <is>
          <t>ÖREBRO</t>
        </is>
      </c>
      <c r="G563" t="n">
        <v>1.1</v>
      </c>
      <c r="H563" t="n">
        <v>0</v>
      </c>
      <c r="I563" t="n">
        <v>0</v>
      </c>
      <c r="J563" t="n">
        <v>0</v>
      </c>
      <c r="K563" t="n">
        <v>0</v>
      </c>
      <c r="L563" t="n">
        <v>0</v>
      </c>
      <c r="M563" t="n">
        <v>0</v>
      </c>
      <c r="N563" t="n">
        <v>0</v>
      </c>
      <c r="O563" t="n">
        <v>0</v>
      </c>
      <c r="P563" t="n">
        <v>0</v>
      </c>
      <c r="Q563" t="n">
        <v>0</v>
      </c>
      <c r="R563" s="2" t="inlineStr"/>
    </row>
    <row r="564" ht="15" customHeight="1">
      <c r="A564" t="inlineStr">
        <is>
          <t>A 38133-2021</t>
        </is>
      </c>
      <c r="B564" s="1" t="n">
        <v>44404</v>
      </c>
      <c r="C564" s="1" t="n">
        <v>45952</v>
      </c>
      <c r="D564" t="inlineStr">
        <is>
          <t>ÖREBRO LÄN</t>
        </is>
      </c>
      <c r="E564" t="inlineStr">
        <is>
          <t>ÖREBRO</t>
        </is>
      </c>
      <c r="G564" t="n">
        <v>9.199999999999999</v>
      </c>
      <c r="H564" t="n">
        <v>0</v>
      </c>
      <c r="I564" t="n">
        <v>0</v>
      </c>
      <c r="J564" t="n">
        <v>0</v>
      </c>
      <c r="K564" t="n">
        <v>0</v>
      </c>
      <c r="L564" t="n">
        <v>0</v>
      </c>
      <c r="M564" t="n">
        <v>0</v>
      </c>
      <c r="N564" t="n">
        <v>0</v>
      </c>
      <c r="O564" t="n">
        <v>0</v>
      </c>
      <c r="P564" t="n">
        <v>0</v>
      </c>
      <c r="Q564" t="n">
        <v>0</v>
      </c>
      <c r="R564" s="2" t="inlineStr"/>
    </row>
    <row r="565" ht="15" customHeight="1">
      <c r="A565" t="inlineStr">
        <is>
          <t>A 46397-2021</t>
        </is>
      </c>
      <c r="B565" s="1" t="n">
        <v>44443.76373842593</v>
      </c>
      <c r="C565" s="1" t="n">
        <v>45952</v>
      </c>
      <c r="D565" t="inlineStr">
        <is>
          <t>ÖREBRO LÄN</t>
        </is>
      </c>
      <c r="E565" t="inlineStr">
        <is>
          <t>LEKEBERG</t>
        </is>
      </c>
      <c r="G565" t="n">
        <v>1.2</v>
      </c>
      <c r="H565" t="n">
        <v>0</v>
      </c>
      <c r="I565" t="n">
        <v>0</v>
      </c>
      <c r="J565" t="n">
        <v>0</v>
      </c>
      <c r="K565" t="n">
        <v>0</v>
      </c>
      <c r="L565" t="n">
        <v>0</v>
      </c>
      <c r="M565" t="n">
        <v>0</v>
      </c>
      <c r="N565" t="n">
        <v>0</v>
      </c>
      <c r="O565" t="n">
        <v>0</v>
      </c>
      <c r="P565" t="n">
        <v>0</v>
      </c>
      <c r="Q565" t="n">
        <v>0</v>
      </c>
      <c r="R565" s="2" t="inlineStr"/>
    </row>
    <row r="566" ht="15" customHeight="1">
      <c r="A566" t="inlineStr">
        <is>
          <t>A 64864-2020</t>
        </is>
      </c>
      <c r="B566" s="1" t="n">
        <v>44171</v>
      </c>
      <c r="C566" s="1" t="n">
        <v>45952</v>
      </c>
      <c r="D566" t="inlineStr">
        <is>
          <t>ÖREBRO LÄN</t>
        </is>
      </c>
      <c r="E566" t="inlineStr">
        <is>
          <t>LINDESBERG</t>
        </is>
      </c>
      <c r="G566" t="n">
        <v>1.4</v>
      </c>
      <c r="H566" t="n">
        <v>0</v>
      </c>
      <c r="I566" t="n">
        <v>0</v>
      </c>
      <c r="J566" t="n">
        <v>0</v>
      </c>
      <c r="K566" t="n">
        <v>0</v>
      </c>
      <c r="L566" t="n">
        <v>0</v>
      </c>
      <c r="M566" t="n">
        <v>0</v>
      </c>
      <c r="N566" t="n">
        <v>0</v>
      </c>
      <c r="O566" t="n">
        <v>0</v>
      </c>
      <c r="P566" t="n">
        <v>0</v>
      </c>
      <c r="Q566" t="n">
        <v>0</v>
      </c>
      <c r="R566" s="2" t="inlineStr"/>
    </row>
    <row r="567" ht="15" customHeight="1">
      <c r="A567" t="inlineStr">
        <is>
          <t>A 68432-2020</t>
        </is>
      </c>
      <c r="B567" s="1" t="n">
        <v>44186</v>
      </c>
      <c r="C567" s="1" t="n">
        <v>45952</v>
      </c>
      <c r="D567" t="inlineStr">
        <is>
          <t>ÖREBRO LÄN</t>
        </is>
      </c>
      <c r="E567" t="inlineStr">
        <is>
          <t>ASKERSUND</t>
        </is>
      </c>
      <c r="G567" t="n">
        <v>3.3</v>
      </c>
      <c r="H567" t="n">
        <v>0</v>
      </c>
      <c r="I567" t="n">
        <v>0</v>
      </c>
      <c r="J567" t="n">
        <v>0</v>
      </c>
      <c r="K567" t="n">
        <v>0</v>
      </c>
      <c r="L567" t="n">
        <v>0</v>
      </c>
      <c r="M567" t="n">
        <v>0</v>
      </c>
      <c r="N567" t="n">
        <v>0</v>
      </c>
      <c r="O567" t="n">
        <v>0</v>
      </c>
      <c r="P567" t="n">
        <v>0</v>
      </c>
      <c r="Q567" t="n">
        <v>0</v>
      </c>
      <c r="R567" s="2" t="inlineStr"/>
    </row>
    <row r="568" ht="15" customHeight="1">
      <c r="A568" t="inlineStr">
        <is>
          <t>A 50407-2022</t>
        </is>
      </c>
      <c r="B568" s="1" t="n">
        <v>44861</v>
      </c>
      <c r="C568" s="1" t="n">
        <v>45952</v>
      </c>
      <c r="D568" t="inlineStr">
        <is>
          <t>ÖREBRO LÄN</t>
        </is>
      </c>
      <c r="E568" t="inlineStr">
        <is>
          <t>LEKEBERG</t>
        </is>
      </c>
      <c r="G568" t="n">
        <v>4.8</v>
      </c>
      <c r="H568" t="n">
        <v>0</v>
      </c>
      <c r="I568" t="n">
        <v>0</v>
      </c>
      <c r="J568" t="n">
        <v>0</v>
      </c>
      <c r="K568" t="n">
        <v>0</v>
      </c>
      <c r="L568" t="n">
        <v>0</v>
      </c>
      <c r="M568" t="n">
        <v>0</v>
      </c>
      <c r="N568" t="n">
        <v>0</v>
      </c>
      <c r="O568" t="n">
        <v>0</v>
      </c>
      <c r="P568" t="n">
        <v>0</v>
      </c>
      <c r="Q568" t="n">
        <v>0</v>
      </c>
      <c r="R568" s="2" t="inlineStr"/>
    </row>
    <row r="569" ht="15" customHeight="1">
      <c r="A569" t="inlineStr">
        <is>
          <t>A 74451-2021</t>
        </is>
      </c>
      <c r="B569" s="1" t="n">
        <v>44560</v>
      </c>
      <c r="C569" s="1" t="n">
        <v>45952</v>
      </c>
      <c r="D569" t="inlineStr">
        <is>
          <t>ÖREBRO LÄN</t>
        </is>
      </c>
      <c r="E569" t="inlineStr">
        <is>
          <t>NORA</t>
        </is>
      </c>
      <c r="G569" t="n">
        <v>0.2</v>
      </c>
      <c r="H569" t="n">
        <v>0</v>
      </c>
      <c r="I569" t="n">
        <v>0</v>
      </c>
      <c r="J569" t="n">
        <v>0</v>
      </c>
      <c r="K569" t="n">
        <v>0</v>
      </c>
      <c r="L569" t="n">
        <v>0</v>
      </c>
      <c r="M569" t="n">
        <v>0</v>
      </c>
      <c r="N569" t="n">
        <v>0</v>
      </c>
      <c r="O569" t="n">
        <v>0</v>
      </c>
      <c r="P569" t="n">
        <v>0</v>
      </c>
      <c r="Q569" t="n">
        <v>0</v>
      </c>
      <c r="R569" s="2" t="inlineStr"/>
    </row>
    <row r="570" ht="15" customHeight="1">
      <c r="A570" t="inlineStr">
        <is>
          <t>A 66778-2021</t>
        </is>
      </c>
      <c r="B570" s="1" t="n">
        <v>44519</v>
      </c>
      <c r="C570" s="1" t="n">
        <v>45952</v>
      </c>
      <c r="D570" t="inlineStr">
        <is>
          <t>ÖREBRO LÄN</t>
        </is>
      </c>
      <c r="E570" t="inlineStr">
        <is>
          <t>LEKEBERG</t>
        </is>
      </c>
      <c r="G570" t="n">
        <v>1.9</v>
      </c>
      <c r="H570" t="n">
        <v>0</v>
      </c>
      <c r="I570" t="n">
        <v>0</v>
      </c>
      <c r="J570" t="n">
        <v>0</v>
      </c>
      <c r="K570" t="n">
        <v>0</v>
      </c>
      <c r="L570" t="n">
        <v>0</v>
      </c>
      <c r="M570" t="n">
        <v>0</v>
      </c>
      <c r="N570" t="n">
        <v>0</v>
      </c>
      <c r="O570" t="n">
        <v>0</v>
      </c>
      <c r="P570" t="n">
        <v>0</v>
      </c>
      <c r="Q570" t="n">
        <v>0</v>
      </c>
      <c r="R570" s="2" t="inlineStr"/>
    </row>
    <row r="571" ht="15" customHeight="1">
      <c r="A571" t="inlineStr">
        <is>
          <t>A 51122-2021</t>
        </is>
      </c>
      <c r="B571" s="1" t="n">
        <v>44460</v>
      </c>
      <c r="C571" s="1" t="n">
        <v>45952</v>
      </c>
      <c r="D571" t="inlineStr">
        <is>
          <t>ÖREBRO LÄN</t>
        </is>
      </c>
      <c r="E571" t="inlineStr">
        <is>
          <t>LINDESBERG</t>
        </is>
      </c>
      <c r="G571" t="n">
        <v>1.9</v>
      </c>
      <c r="H571" t="n">
        <v>0</v>
      </c>
      <c r="I571" t="n">
        <v>0</v>
      </c>
      <c r="J571" t="n">
        <v>0</v>
      </c>
      <c r="K571" t="n">
        <v>0</v>
      </c>
      <c r="L571" t="n">
        <v>0</v>
      </c>
      <c r="M571" t="n">
        <v>0</v>
      </c>
      <c r="N571" t="n">
        <v>0</v>
      </c>
      <c r="O571" t="n">
        <v>0</v>
      </c>
      <c r="P571" t="n">
        <v>0</v>
      </c>
      <c r="Q571" t="n">
        <v>0</v>
      </c>
      <c r="R571" s="2" t="inlineStr"/>
    </row>
    <row r="572" ht="15" customHeight="1">
      <c r="A572" t="inlineStr">
        <is>
          <t>A 39597-2021</t>
        </is>
      </c>
      <c r="B572" s="1" t="n">
        <v>44413</v>
      </c>
      <c r="C572" s="1" t="n">
        <v>45952</v>
      </c>
      <c r="D572" t="inlineStr">
        <is>
          <t>ÖREBRO LÄN</t>
        </is>
      </c>
      <c r="E572" t="inlineStr">
        <is>
          <t>ASKERSUND</t>
        </is>
      </c>
      <c r="G572" t="n">
        <v>3</v>
      </c>
      <c r="H572" t="n">
        <v>0</v>
      </c>
      <c r="I572" t="n">
        <v>0</v>
      </c>
      <c r="J572" t="n">
        <v>0</v>
      </c>
      <c r="K572" t="n">
        <v>0</v>
      </c>
      <c r="L572" t="n">
        <v>0</v>
      </c>
      <c r="M572" t="n">
        <v>0</v>
      </c>
      <c r="N572" t="n">
        <v>0</v>
      </c>
      <c r="O572" t="n">
        <v>0</v>
      </c>
      <c r="P572" t="n">
        <v>0</v>
      </c>
      <c r="Q572" t="n">
        <v>0</v>
      </c>
      <c r="R572" s="2" t="inlineStr"/>
    </row>
    <row r="573" ht="15" customHeight="1">
      <c r="A573" t="inlineStr">
        <is>
          <t>A 36346-2022</t>
        </is>
      </c>
      <c r="B573" s="1" t="n">
        <v>44803.81030092593</v>
      </c>
      <c r="C573" s="1" t="n">
        <v>45952</v>
      </c>
      <c r="D573" t="inlineStr">
        <is>
          <t>ÖREBRO LÄN</t>
        </is>
      </c>
      <c r="E573" t="inlineStr">
        <is>
          <t>LAXÅ</t>
        </is>
      </c>
      <c r="F573" t="inlineStr">
        <is>
          <t>Sveaskog</t>
        </is>
      </c>
      <c r="G573" t="n">
        <v>0.9</v>
      </c>
      <c r="H573" t="n">
        <v>0</v>
      </c>
      <c r="I573" t="n">
        <v>0</v>
      </c>
      <c r="J573" t="n">
        <v>0</v>
      </c>
      <c r="K573" t="n">
        <v>0</v>
      </c>
      <c r="L573" t="n">
        <v>0</v>
      </c>
      <c r="M573" t="n">
        <v>0</v>
      </c>
      <c r="N573" t="n">
        <v>0</v>
      </c>
      <c r="O573" t="n">
        <v>0</v>
      </c>
      <c r="P573" t="n">
        <v>0</v>
      </c>
      <c r="Q573" t="n">
        <v>0</v>
      </c>
      <c r="R573" s="2" t="inlineStr"/>
    </row>
    <row r="574" ht="15" customHeight="1">
      <c r="A574" t="inlineStr">
        <is>
          <t>A 36349-2022</t>
        </is>
      </c>
      <c r="B574" s="1" t="n">
        <v>44803</v>
      </c>
      <c r="C574" s="1" t="n">
        <v>45952</v>
      </c>
      <c r="D574" t="inlineStr">
        <is>
          <t>ÖREBRO LÄN</t>
        </is>
      </c>
      <c r="E574" t="inlineStr">
        <is>
          <t>LAXÅ</t>
        </is>
      </c>
      <c r="F574" t="inlineStr">
        <is>
          <t>Sveaskog</t>
        </is>
      </c>
      <c r="G574" t="n">
        <v>0.6</v>
      </c>
      <c r="H574" t="n">
        <v>0</v>
      </c>
      <c r="I574" t="n">
        <v>0</v>
      </c>
      <c r="J574" t="n">
        <v>0</v>
      </c>
      <c r="K574" t="n">
        <v>0</v>
      </c>
      <c r="L574" t="n">
        <v>0</v>
      </c>
      <c r="M574" t="n">
        <v>0</v>
      </c>
      <c r="N574" t="n">
        <v>0</v>
      </c>
      <c r="O574" t="n">
        <v>0</v>
      </c>
      <c r="P574" t="n">
        <v>0</v>
      </c>
      <c r="Q574" t="n">
        <v>0</v>
      </c>
      <c r="R574" s="2" t="inlineStr"/>
    </row>
    <row r="575" ht="15" customHeight="1">
      <c r="A575" t="inlineStr">
        <is>
          <t>A 36351-2022</t>
        </is>
      </c>
      <c r="B575" s="1" t="n">
        <v>44803</v>
      </c>
      <c r="C575" s="1" t="n">
        <v>45952</v>
      </c>
      <c r="D575" t="inlineStr">
        <is>
          <t>ÖREBRO LÄN</t>
        </is>
      </c>
      <c r="E575" t="inlineStr">
        <is>
          <t>LAXÅ</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45952</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56695-2021</t>
        </is>
      </c>
      <c r="B577" s="1" t="n">
        <v>44481</v>
      </c>
      <c r="C577" s="1" t="n">
        <v>45952</v>
      </c>
      <c r="D577" t="inlineStr">
        <is>
          <t>ÖREBRO LÄN</t>
        </is>
      </c>
      <c r="E577" t="inlineStr">
        <is>
          <t>LINDESBERG</t>
        </is>
      </c>
      <c r="G577" t="n">
        <v>1.9</v>
      </c>
      <c r="H577" t="n">
        <v>0</v>
      </c>
      <c r="I577" t="n">
        <v>0</v>
      </c>
      <c r="J577" t="n">
        <v>0</v>
      </c>
      <c r="K577" t="n">
        <v>0</v>
      </c>
      <c r="L577" t="n">
        <v>0</v>
      </c>
      <c r="M577" t="n">
        <v>0</v>
      </c>
      <c r="N577" t="n">
        <v>0</v>
      </c>
      <c r="O577" t="n">
        <v>0</v>
      </c>
      <c r="P577" t="n">
        <v>0</v>
      </c>
      <c r="Q577" t="n">
        <v>0</v>
      </c>
      <c r="R577" s="2" t="inlineStr"/>
    </row>
    <row r="578" ht="15" customHeight="1">
      <c r="A578" t="inlineStr">
        <is>
          <t>A 41967-2022</t>
        </is>
      </c>
      <c r="B578" s="1" t="n">
        <v>44830</v>
      </c>
      <c r="C578" s="1" t="n">
        <v>45952</v>
      </c>
      <c r="D578" t="inlineStr">
        <is>
          <t>ÖREBRO LÄN</t>
        </is>
      </c>
      <c r="E578" t="inlineStr">
        <is>
          <t>LEKEBERG</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29623-2022</t>
        </is>
      </c>
      <c r="B579" s="1" t="n">
        <v>44754</v>
      </c>
      <c r="C579" s="1" t="n">
        <v>45952</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22738-2022</t>
        </is>
      </c>
      <c r="B580" s="1" t="n">
        <v>44714</v>
      </c>
      <c r="C580" s="1" t="n">
        <v>45952</v>
      </c>
      <c r="D580" t="inlineStr">
        <is>
          <t>ÖREBRO LÄN</t>
        </is>
      </c>
      <c r="E580" t="inlineStr">
        <is>
          <t>LINDESBERG</t>
        </is>
      </c>
      <c r="G580" t="n">
        <v>2.4</v>
      </c>
      <c r="H580" t="n">
        <v>0</v>
      </c>
      <c r="I580" t="n">
        <v>0</v>
      </c>
      <c r="J580" t="n">
        <v>0</v>
      </c>
      <c r="K580" t="n">
        <v>0</v>
      </c>
      <c r="L580" t="n">
        <v>0</v>
      </c>
      <c r="M580" t="n">
        <v>0</v>
      </c>
      <c r="N580" t="n">
        <v>0</v>
      </c>
      <c r="O580" t="n">
        <v>0</v>
      </c>
      <c r="P580" t="n">
        <v>0</v>
      </c>
      <c r="Q580" t="n">
        <v>0</v>
      </c>
      <c r="R580" s="2" t="inlineStr"/>
    </row>
    <row r="581" ht="15" customHeight="1">
      <c r="A581" t="inlineStr">
        <is>
          <t>A 33760-2022</t>
        </is>
      </c>
      <c r="B581" s="1" t="n">
        <v>44790</v>
      </c>
      <c r="C581" s="1" t="n">
        <v>45952</v>
      </c>
      <c r="D581" t="inlineStr">
        <is>
          <t>ÖREBRO LÄN</t>
        </is>
      </c>
      <c r="E581" t="inlineStr">
        <is>
          <t>LINDESBERG</t>
        </is>
      </c>
      <c r="G581" t="n">
        <v>0.5</v>
      </c>
      <c r="H581" t="n">
        <v>0</v>
      </c>
      <c r="I581" t="n">
        <v>0</v>
      </c>
      <c r="J581" t="n">
        <v>0</v>
      </c>
      <c r="K581" t="n">
        <v>0</v>
      </c>
      <c r="L581" t="n">
        <v>0</v>
      </c>
      <c r="M581" t="n">
        <v>0</v>
      </c>
      <c r="N581" t="n">
        <v>0</v>
      </c>
      <c r="O581" t="n">
        <v>0</v>
      </c>
      <c r="P581" t="n">
        <v>0</v>
      </c>
      <c r="Q581" t="n">
        <v>0</v>
      </c>
      <c r="R581" s="2" t="inlineStr"/>
    </row>
    <row r="582" ht="15" customHeight="1">
      <c r="A582" t="inlineStr">
        <is>
          <t>A 49787-2022</t>
        </is>
      </c>
      <c r="B582" s="1" t="n">
        <v>44862</v>
      </c>
      <c r="C582" s="1" t="n">
        <v>45952</v>
      </c>
      <c r="D582" t="inlineStr">
        <is>
          <t>ÖREBRO LÄN</t>
        </is>
      </c>
      <c r="E582" t="inlineStr">
        <is>
          <t>HÄLLEFORS</t>
        </is>
      </c>
      <c r="F582" t="inlineStr">
        <is>
          <t>Bergvik skog väst AB</t>
        </is>
      </c>
      <c r="G582" t="n">
        <v>1</v>
      </c>
      <c r="H582" t="n">
        <v>0</v>
      </c>
      <c r="I582" t="n">
        <v>0</v>
      </c>
      <c r="J582" t="n">
        <v>0</v>
      </c>
      <c r="K582" t="n">
        <v>0</v>
      </c>
      <c r="L582" t="n">
        <v>0</v>
      </c>
      <c r="M582" t="n">
        <v>0</v>
      </c>
      <c r="N582" t="n">
        <v>0</v>
      </c>
      <c r="O582" t="n">
        <v>0</v>
      </c>
      <c r="P582" t="n">
        <v>0</v>
      </c>
      <c r="Q582" t="n">
        <v>0</v>
      </c>
      <c r="R582" s="2" t="inlineStr"/>
    </row>
    <row r="583" ht="15" customHeight="1">
      <c r="A583" t="inlineStr">
        <is>
          <t>A 10821-2022</t>
        </is>
      </c>
      <c r="B583" s="1" t="n">
        <v>44627</v>
      </c>
      <c r="C583" s="1" t="n">
        <v>45952</v>
      </c>
      <c r="D583" t="inlineStr">
        <is>
          <t>ÖREBRO LÄN</t>
        </is>
      </c>
      <c r="E583" t="inlineStr">
        <is>
          <t>LINDESBERG</t>
        </is>
      </c>
      <c r="G583" t="n">
        <v>0.4</v>
      </c>
      <c r="H583" t="n">
        <v>0</v>
      </c>
      <c r="I583" t="n">
        <v>0</v>
      </c>
      <c r="J583" t="n">
        <v>0</v>
      </c>
      <c r="K583" t="n">
        <v>0</v>
      </c>
      <c r="L583" t="n">
        <v>0</v>
      </c>
      <c r="M583" t="n">
        <v>0</v>
      </c>
      <c r="N583" t="n">
        <v>0</v>
      </c>
      <c r="O583" t="n">
        <v>0</v>
      </c>
      <c r="P583" t="n">
        <v>0</v>
      </c>
      <c r="Q583" t="n">
        <v>0</v>
      </c>
      <c r="R583" s="2" t="inlineStr"/>
    </row>
    <row r="584" ht="15" customHeight="1">
      <c r="A584" t="inlineStr">
        <is>
          <t>A 16939-2022</t>
        </is>
      </c>
      <c r="B584" s="1" t="n">
        <v>44676</v>
      </c>
      <c r="C584" s="1" t="n">
        <v>45952</v>
      </c>
      <c r="D584" t="inlineStr">
        <is>
          <t>ÖREBRO LÄN</t>
        </is>
      </c>
      <c r="E584" t="inlineStr">
        <is>
          <t>LINDESBERG</t>
        </is>
      </c>
      <c r="G584" t="n">
        <v>1.7</v>
      </c>
      <c r="H584" t="n">
        <v>0</v>
      </c>
      <c r="I584" t="n">
        <v>0</v>
      </c>
      <c r="J584" t="n">
        <v>0</v>
      </c>
      <c r="K584" t="n">
        <v>0</v>
      </c>
      <c r="L584" t="n">
        <v>0</v>
      </c>
      <c r="M584" t="n">
        <v>0</v>
      </c>
      <c r="N584" t="n">
        <v>0</v>
      </c>
      <c r="O584" t="n">
        <v>0</v>
      </c>
      <c r="P584" t="n">
        <v>0</v>
      </c>
      <c r="Q584" t="n">
        <v>0</v>
      </c>
      <c r="R584" s="2" t="inlineStr"/>
    </row>
    <row r="585" ht="15" customHeight="1">
      <c r="A585" t="inlineStr">
        <is>
          <t>A 66209-2020</t>
        </is>
      </c>
      <c r="B585" s="1" t="n">
        <v>44175</v>
      </c>
      <c r="C585" s="1" t="n">
        <v>45952</v>
      </c>
      <c r="D585" t="inlineStr">
        <is>
          <t>ÖREBRO LÄN</t>
        </is>
      </c>
      <c r="E585" t="inlineStr">
        <is>
          <t>LJUSNARSBERG</t>
        </is>
      </c>
      <c r="G585" t="n">
        <v>1.1</v>
      </c>
      <c r="H585" t="n">
        <v>0</v>
      </c>
      <c r="I585" t="n">
        <v>0</v>
      </c>
      <c r="J585" t="n">
        <v>0</v>
      </c>
      <c r="K585" t="n">
        <v>0</v>
      </c>
      <c r="L585" t="n">
        <v>0</v>
      </c>
      <c r="M585" t="n">
        <v>0</v>
      </c>
      <c r="N585" t="n">
        <v>0</v>
      </c>
      <c r="O585" t="n">
        <v>0</v>
      </c>
      <c r="P585" t="n">
        <v>0</v>
      </c>
      <c r="Q585" t="n">
        <v>0</v>
      </c>
      <c r="R585" s="2" t="inlineStr"/>
    </row>
    <row r="586" ht="15" customHeight="1">
      <c r="A586" t="inlineStr">
        <is>
          <t>A 47669-2021</t>
        </is>
      </c>
      <c r="B586" s="1" t="n">
        <v>44448.43530092593</v>
      </c>
      <c r="C586" s="1" t="n">
        <v>45952</v>
      </c>
      <c r="D586" t="inlineStr">
        <is>
          <t>ÖREBRO LÄN</t>
        </is>
      </c>
      <c r="E586" t="inlineStr">
        <is>
          <t>KARLSKOGA</t>
        </is>
      </c>
      <c r="G586" t="n">
        <v>1.8</v>
      </c>
      <c r="H586" t="n">
        <v>0</v>
      </c>
      <c r="I586" t="n">
        <v>0</v>
      </c>
      <c r="J586" t="n">
        <v>0</v>
      </c>
      <c r="K586" t="n">
        <v>0</v>
      </c>
      <c r="L586" t="n">
        <v>0</v>
      </c>
      <c r="M586" t="n">
        <v>0</v>
      </c>
      <c r="N586" t="n">
        <v>0</v>
      </c>
      <c r="O586" t="n">
        <v>0</v>
      </c>
      <c r="P586" t="n">
        <v>0</v>
      </c>
      <c r="Q586" t="n">
        <v>0</v>
      </c>
      <c r="R586" s="2" t="inlineStr"/>
    </row>
    <row r="587" ht="15" customHeight="1">
      <c r="A587" t="inlineStr">
        <is>
          <t>A 18674-2022</t>
        </is>
      </c>
      <c r="B587" s="1" t="n">
        <v>44687</v>
      </c>
      <c r="C587" s="1" t="n">
        <v>45952</v>
      </c>
      <c r="D587" t="inlineStr">
        <is>
          <t>ÖREBRO LÄN</t>
        </is>
      </c>
      <c r="E587" t="inlineStr">
        <is>
          <t>ÖREBRO</t>
        </is>
      </c>
      <c r="G587" t="n">
        <v>0.3</v>
      </c>
      <c r="H587" t="n">
        <v>0</v>
      </c>
      <c r="I587" t="n">
        <v>0</v>
      </c>
      <c r="J587" t="n">
        <v>0</v>
      </c>
      <c r="K587" t="n">
        <v>0</v>
      </c>
      <c r="L587" t="n">
        <v>0</v>
      </c>
      <c r="M587" t="n">
        <v>0</v>
      </c>
      <c r="N587" t="n">
        <v>0</v>
      </c>
      <c r="O587" t="n">
        <v>0</v>
      </c>
      <c r="P587" t="n">
        <v>0</v>
      </c>
      <c r="Q587" t="n">
        <v>0</v>
      </c>
      <c r="R587" s="2" t="inlineStr"/>
    </row>
    <row r="588" ht="15" customHeight="1">
      <c r="A588" t="inlineStr">
        <is>
          <t>A 12522-2022</t>
        </is>
      </c>
      <c r="B588" s="1" t="n">
        <v>44638</v>
      </c>
      <c r="C588" s="1" t="n">
        <v>45952</v>
      </c>
      <c r="D588" t="inlineStr">
        <is>
          <t>ÖREBRO LÄN</t>
        </is>
      </c>
      <c r="E588" t="inlineStr">
        <is>
          <t>LINDESBERG</t>
        </is>
      </c>
      <c r="G588" t="n">
        <v>6.2</v>
      </c>
      <c r="H588" t="n">
        <v>0</v>
      </c>
      <c r="I588" t="n">
        <v>0</v>
      </c>
      <c r="J588" t="n">
        <v>0</v>
      </c>
      <c r="K588" t="n">
        <v>0</v>
      </c>
      <c r="L588" t="n">
        <v>0</v>
      </c>
      <c r="M588" t="n">
        <v>0</v>
      </c>
      <c r="N588" t="n">
        <v>0</v>
      </c>
      <c r="O588" t="n">
        <v>0</v>
      </c>
      <c r="P588" t="n">
        <v>0</v>
      </c>
      <c r="Q588" t="n">
        <v>0</v>
      </c>
      <c r="R588" s="2" t="inlineStr"/>
    </row>
    <row r="589" ht="15" customHeight="1">
      <c r="A589" t="inlineStr">
        <is>
          <t>A 9665-2022</t>
        </is>
      </c>
      <c r="B589" s="1" t="n">
        <v>44617.62023148148</v>
      </c>
      <c r="C589" s="1" t="n">
        <v>45952</v>
      </c>
      <c r="D589" t="inlineStr">
        <is>
          <t>ÖREBRO LÄN</t>
        </is>
      </c>
      <c r="E589" t="inlineStr">
        <is>
          <t>LAXÅ</t>
        </is>
      </c>
      <c r="G589" t="n">
        <v>0.8</v>
      </c>
      <c r="H589" t="n">
        <v>0</v>
      </c>
      <c r="I589" t="n">
        <v>0</v>
      </c>
      <c r="J589" t="n">
        <v>0</v>
      </c>
      <c r="K589" t="n">
        <v>0</v>
      </c>
      <c r="L589" t="n">
        <v>0</v>
      </c>
      <c r="M589" t="n">
        <v>0</v>
      </c>
      <c r="N589" t="n">
        <v>0</v>
      </c>
      <c r="O589" t="n">
        <v>0</v>
      </c>
      <c r="P589" t="n">
        <v>0</v>
      </c>
      <c r="Q589" t="n">
        <v>0</v>
      </c>
      <c r="R589" s="2" t="inlineStr"/>
    </row>
    <row r="590" ht="15" customHeight="1">
      <c r="A590" t="inlineStr">
        <is>
          <t>A 49684-2022</t>
        </is>
      </c>
      <c r="B590" s="1" t="n">
        <v>44862.49034722222</v>
      </c>
      <c r="C590" s="1" t="n">
        <v>45952</v>
      </c>
      <c r="D590" t="inlineStr">
        <is>
          <t>ÖREBRO LÄN</t>
        </is>
      </c>
      <c r="E590" t="inlineStr">
        <is>
          <t>HALLSBERG</t>
        </is>
      </c>
      <c r="G590" t="n">
        <v>2.3</v>
      </c>
      <c r="H590" t="n">
        <v>0</v>
      </c>
      <c r="I590" t="n">
        <v>0</v>
      </c>
      <c r="J590" t="n">
        <v>0</v>
      </c>
      <c r="K590" t="n">
        <v>0</v>
      </c>
      <c r="L590" t="n">
        <v>0</v>
      </c>
      <c r="M590" t="n">
        <v>0</v>
      </c>
      <c r="N590" t="n">
        <v>0</v>
      </c>
      <c r="O590" t="n">
        <v>0</v>
      </c>
      <c r="P590" t="n">
        <v>0</v>
      </c>
      <c r="Q590" t="n">
        <v>0</v>
      </c>
      <c r="R590" s="2" t="inlineStr"/>
    </row>
    <row r="591" ht="15" customHeight="1">
      <c r="A591" t="inlineStr">
        <is>
          <t>A 59907-2021</t>
        </is>
      </c>
      <c r="B591" s="1" t="n">
        <v>44494</v>
      </c>
      <c r="C591" s="1" t="n">
        <v>45952</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28119-2022</t>
        </is>
      </c>
      <c r="B592" s="1" t="n">
        <v>44746</v>
      </c>
      <c r="C592" s="1" t="n">
        <v>45952</v>
      </c>
      <c r="D592" t="inlineStr">
        <is>
          <t>ÖREBRO LÄN</t>
        </is>
      </c>
      <c r="E592" t="inlineStr">
        <is>
          <t>LAXÅ</t>
        </is>
      </c>
      <c r="F592" t="inlineStr">
        <is>
          <t>Sveaskog</t>
        </is>
      </c>
      <c r="G592" t="n">
        <v>0.9</v>
      </c>
      <c r="H592" t="n">
        <v>0</v>
      </c>
      <c r="I592" t="n">
        <v>0</v>
      </c>
      <c r="J592" t="n">
        <v>0</v>
      </c>
      <c r="K592" t="n">
        <v>0</v>
      </c>
      <c r="L592" t="n">
        <v>0</v>
      </c>
      <c r="M592" t="n">
        <v>0</v>
      </c>
      <c r="N592" t="n">
        <v>0</v>
      </c>
      <c r="O592" t="n">
        <v>0</v>
      </c>
      <c r="P592" t="n">
        <v>0</v>
      </c>
      <c r="Q592" t="n">
        <v>0</v>
      </c>
      <c r="R592" s="2" t="inlineStr"/>
    </row>
    <row r="593" ht="15" customHeight="1">
      <c r="A593" t="inlineStr">
        <is>
          <t>A 5836-2021</t>
        </is>
      </c>
      <c r="B593" s="1" t="n">
        <v>44230</v>
      </c>
      <c r="C593" s="1" t="n">
        <v>45952</v>
      </c>
      <c r="D593" t="inlineStr">
        <is>
          <t>ÖREBRO LÄN</t>
        </is>
      </c>
      <c r="E593" t="inlineStr">
        <is>
          <t>KARLSKOGA</t>
        </is>
      </c>
      <c r="F593" t="inlineStr">
        <is>
          <t>Övriga Aktiebolag</t>
        </is>
      </c>
      <c r="G593" t="n">
        <v>0.5</v>
      </c>
      <c r="H593" t="n">
        <v>0</v>
      </c>
      <c r="I593" t="n">
        <v>0</v>
      </c>
      <c r="J593" t="n">
        <v>0</v>
      </c>
      <c r="K593" t="n">
        <v>0</v>
      </c>
      <c r="L593" t="n">
        <v>0</v>
      </c>
      <c r="M593" t="n">
        <v>0</v>
      </c>
      <c r="N593" t="n">
        <v>0</v>
      </c>
      <c r="O593" t="n">
        <v>0</v>
      </c>
      <c r="P593" t="n">
        <v>0</v>
      </c>
      <c r="Q593" t="n">
        <v>0</v>
      </c>
      <c r="R593" s="2" t="inlineStr"/>
    </row>
    <row r="594" ht="15" customHeight="1">
      <c r="A594" t="inlineStr">
        <is>
          <t>A 14877-2022</t>
        </is>
      </c>
      <c r="B594" s="1" t="n">
        <v>44656</v>
      </c>
      <c r="C594" s="1" t="n">
        <v>45952</v>
      </c>
      <c r="D594" t="inlineStr">
        <is>
          <t>ÖREBRO LÄN</t>
        </is>
      </c>
      <c r="E594" t="inlineStr">
        <is>
          <t>ÖREBRO</t>
        </is>
      </c>
      <c r="G594" t="n">
        <v>3.8</v>
      </c>
      <c r="H594" t="n">
        <v>0</v>
      </c>
      <c r="I594" t="n">
        <v>0</v>
      </c>
      <c r="J594" t="n">
        <v>0</v>
      </c>
      <c r="K594" t="n">
        <v>0</v>
      </c>
      <c r="L594" t="n">
        <v>0</v>
      </c>
      <c r="M594" t="n">
        <v>0</v>
      </c>
      <c r="N594" t="n">
        <v>0</v>
      </c>
      <c r="O594" t="n">
        <v>0</v>
      </c>
      <c r="P594" t="n">
        <v>0</v>
      </c>
      <c r="Q594" t="n">
        <v>0</v>
      </c>
      <c r="R594" s="2" t="inlineStr"/>
    </row>
    <row r="595" ht="15" customHeight="1">
      <c r="A595" t="inlineStr">
        <is>
          <t>A 14878-2022</t>
        </is>
      </c>
      <c r="B595" s="1" t="n">
        <v>44656</v>
      </c>
      <c r="C595" s="1" t="n">
        <v>45952</v>
      </c>
      <c r="D595" t="inlineStr">
        <is>
          <t>ÖREBRO LÄN</t>
        </is>
      </c>
      <c r="E595" t="inlineStr">
        <is>
          <t>ÖREBRO</t>
        </is>
      </c>
      <c r="G595" t="n">
        <v>5.4</v>
      </c>
      <c r="H595" t="n">
        <v>0</v>
      </c>
      <c r="I595" t="n">
        <v>0</v>
      </c>
      <c r="J595" t="n">
        <v>0</v>
      </c>
      <c r="K595" t="n">
        <v>0</v>
      </c>
      <c r="L595" t="n">
        <v>0</v>
      </c>
      <c r="M595" t="n">
        <v>0</v>
      </c>
      <c r="N595" t="n">
        <v>0</v>
      </c>
      <c r="O595" t="n">
        <v>0</v>
      </c>
      <c r="P595" t="n">
        <v>0</v>
      </c>
      <c r="Q595" t="n">
        <v>0</v>
      </c>
      <c r="R595" s="2" t="inlineStr"/>
    </row>
    <row r="596" ht="15" customHeight="1">
      <c r="A596" t="inlineStr">
        <is>
          <t>A 68890-2021</t>
        </is>
      </c>
      <c r="B596" s="1" t="n">
        <v>44530</v>
      </c>
      <c r="C596" s="1" t="n">
        <v>45952</v>
      </c>
      <c r="D596" t="inlineStr">
        <is>
          <t>ÖREBRO LÄN</t>
        </is>
      </c>
      <c r="E596" t="inlineStr">
        <is>
          <t>NORA</t>
        </is>
      </c>
      <c r="F596" t="inlineStr">
        <is>
          <t>Sveaskog</t>
        </is>
      </c>
      <c r="G596" t="n">
        <v>1.7</v>
      </c>
      <c r="H596" t="n">
        <v>0</v>
      </c>
      <c r="I596" t="n">
        <v>0</v>
      </c>
      <c r="J596" t="n">
        <v>0</v>
      </c>
      <c r="K596" t="n">
        <v>0</v>
      </c>
      <c r="L596" t="n">
        <v>0</v>
      </c>
      <c r="M596" t="n">
        <v>0</v>
      </c>
      <c r="N596" t="n">
        <v>0</v>
      </c>
      <c r="O596" t="n">
        <v>0</v>
      </c>
      <c r="P596" t="n">
        <v>0</v>
      </c>
      <c r="Q596" t="n">
        <v>0</v>
      </c>
      <c r="R596" s="2" t="inlineStr"/>
    </row>
    <row r="597" ht="15" customHeight="1">
      <c r="A597" t="inlineStr">
        <is>
          <t>A 21035-2021</t>
        </is>
      </c>
      <c r="B597" s="1" t="n">
        <v>44319</v>
      </c>
      <c r="C597" s="1" t="n">
        <v>45952</v>
      </c>
      <c r="D597" t="inlineStr">
        <is>
          <t>ÖREBRO LÄN</t>
        </is>
      </c>
      <c r="E597" t="inlineStr">
        <is>
          <t>KARLSKOGA</t>
        </is>
      </c>
      <c r="F597" t="inlineStr">
        <is>
          <t>Kyrkan</t>
        </is>
      </c>
      <c r="G597" t="n">
        <v>0.6</v>
      </c>
      <c r="H597" t="n">
        <v>0</v>
      </c>
      <c r="I597" t="n">
        <v>0</v>
      </c>
      <c r="J597" t="n">
        <v>0</v>
      </c>
      <c r="K597" t="n">
        <v>0</v>
      </c>
      <c r="L597" t="n">
        <v>0</v>
      </c>
      <c r="M597" t="n">
        <v>0</v>
      </c>
      <c r="N597" t="n">
        <v>0</v>
      </c>
      <c r="O597" t="n">
        <v>0</v>
      </c>
      <c r="P597" t="n">
        <v>0</v>
      </c>
      <c r="Q597" t="n">
        <v>0</v>
      </c>
      <c r="R597" s="2" t="inlineStr"/>
    </row>
    <row r="598" ht="15" customHeight="1">
      <c r="A598" t="inlineStr">
        <is>
          <t>A 33309-2021</t>
        </is>
      </c>
      <c r="B598" s="1" t="n">
        <v>44377</v>
      </c>
      <c r="C598" s="1" t="n">
        <v>45952</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33322-2021</t>
        </is>
      </c>
      <c r="B599" s="1" t="n">
        <v>44377.44943287037</v>
      </c>
      <c r="C599" s="1" t="n">
        <v>45952</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17826-2021</t>
        </is>
      </c>
      <c r="B600" s="1" t="n">
        <v>44300</v>
      </c>
      <c r="C600" s="1" t="n">
        <v>45952</v>
      </c>
      <c r="D600" t="inlineStr">
        <is>
          <t>ÖREBRO LÄN</t>
        </is>
      </c>
      <c r="E600" t="inlineStr">
        <is>
          <t>ASKERSUND</t>
        </is>
      </c>
      <c r="G600" t="n">
        <v>0.7</v>
      </c>
      <c r="H600" t="n">
        <v>0</v>
      </c>
      <c r="I600" t="n">
        <v>0</v>
      </c>
      <c r="J600" t="n">
        <v>0</v>
      </c>
      <c r="K600" t="n">
        <v>0</v>
      </c>
      <c r="L600" t="n">
        <v>0</v>
      </c>
      <c r="M600" t="n">
        <v>0</v>
      </c>
      <c r="N600" t="n">
        <v>0</v>
      </c>
      <c r="O600" t="n">
        <v>0</v>
      </c>
      <c r="P600" t="n">
        <v>0</v>
      </c>
      <c r="Q600" t="n">
        <v>0</v>
      </c>
      <c r="R600" s="2" t="inlineStr"/>
    </row>
    <row r="601" ht="15" customHeight="1">
      <c r="A601" t="inlineStr">
        <is>
          <t>A 17870-2021</t>
        </is>
      </c>
      <c r="B601" s="1" t="n">
        <v>44300</v>
      </c>
      <c r="C601" s="1" t="n">
        <v>45952</v>
      </c>
      <c r="D601" t="inlineStr">
        <is>
          <t>ÖREBRO LÄN</t>
        </is>
      </c>
      <c r="E601" t="inlineStr">
        <is>
          <t>ASKERSUND</t>
        </is>
      </c>
      <c r="G601" t="n">
        <v>1.7</v>
      </c>
      <c r="H601" t="n">
        <v>0</v>
      </c>
      <c r="I601" t="n">
        <v>0</v>
      </c>
      <c r="J601" t="n">
        <v>0</v>
      </c>
      <c r="K601" t="n">
        <v>0</v>
      </c>
      <c r="L601" t="n">
        <v>0</v>
      </c>
      <c r="M601" t="n">
        <v>0</v>
      </c>
      <c r="N601" t="n">
        <v>0</v>
      </c>
      <c r="O601" t="n">
        <v>0</v>
      </c>
      <c r="P601" t="n">
        <v>0</v>
      </c>
      <c r="Q601" t="n">
        <v>0</v>
      </c>
      <c r="R601" s="2" t="inlineStr"/>
    </row>
    <row r="602" ht="15" customHeight="1">
      <c r="A602" t="inlineStr">
        <is>
          <t>A 16969-2022</t>
        </is>
      </c>
      <c r="B602" s="1" t="n">
        <v>44676</v>
      </c>
      <c r="C602" s="1" t="n">
        <v>45952</v>
      </c>
      <c r="D602" t="inlineStr">
        <is>
          <t>ÖREBRO LÄN</t>
        </is>
      </c>
      <c r="E602" t="inlineStr">
        <is>
          <t>ÖREBRO</t>
        </is>
      </c>
      <c r="G602" t="n">
        <v>4.2</v>
      </c>
      <c r="H602" t="n">
        <v>0</v>
      </c>
      <c r="I602" t="n">
        <v>0</v>
      </c>
      <c r="J602" t="n">
        <v>0</v>
      </c>
      <c r="K602" t="n">
        <v>0</v>
      </c>
      <c r="L602" t="n">
        <v>0</v>
      </c>
      <c r="M602" t="n">
        <v>0</v>
      </c>
      <c r="N602" t="n">
        <v>0</v>
      </c>
      <c r="O602" t="n">
        <v>0</v>
      </c>
      <c r="P602" t="n">
        <v>0</v>
      </c>
      <c r="Q602" t="n">
        <v>0</v>
      </c>
      <c r="R602" s="2" t="inlineStr"/>
    </row>
    <row r="603" ht="15" customHeight="1">
      <c r="A603" t="inlineStr">
        <is>
          <t>A 63567-2021</t>
        </is>
      </c>
      <c r="B603" s="1" t="n">
        <v>44508</v>
      </c>
      <c r="C603" s="1" t="n">
        <v>45952</v>
      </c>
      <c r="D603" t="inlineStr">
        <is>
          <t>ÖREBRO LÄN</t>
        </is>
      </c>
      <c r="E603" t="inlineStr">
        <is>
          <t>LEKEBERG</t>
        </is>
      </c>
      <c r="G603" t="n">
        <v>3.7</v>
      </c>
      <c r="H603" t="n">
        <v>0</v>
      </c>
      <c r="I603" t="n">
        <v>0</v>
      </c>
      <c r="J603" t="n">
        <v>0</v>
      </c>
      <c r="K603" t="n">
        <v>0</v>
      </c>
      <c r="L603" t="n">
        <v>0</v>
      </c>
      <c r="M603" t="n">
        <v>0</v>
      </c>
      <c r="N603" t="n">
        <v>0</v>
      </c>
      <c r="O603" t="n">
        <v>0</v>
      </c>
      <c r="P603" t="n">
        <v>0</v>
      </c>
      <c r="Q603" t="n">
        <v>0</v>
      </c>
      <c r="R603" s="2" t="inlineStr"/>
    </row>
    <row r="604" ht="15" customHeight="1">
      <c r="A604" t="inlineStr">
        <is>
          <t>A 6958-2022</t>
        </is>
      </c>
      <c r="B604" s="1" t="n">
        <v>44603</v>
      </c>
      <c r="C604" s="1" t="n">
        <v>45952</v>
      </c>
      <c r="D604" t="inlineStr">
        <is>
          <t>ÖREBRO LÄN</t>
        </is>
      </c>
      <c r="E604" t="inlineStr">
        <is>
          <t>LINDESBERG</t>
        </is>
      </c>
      <c r="G604" t="n">
        <v>1.4</v>
      </c>
      <c r="H604" t="n">
        <v>0</v>
      </c>
      <c r="I604" t="n">
        <v>0</v>
      </c>
      <c r="J604" t="n">
        <v>0</v>
      </c>
      <c r="K604" t="n">
        <v>0</v>
      </c>
      <c r="L604" t="n">
        <v>0</v>
      </c>
      <c r="M604" t="n">
        <v>0</v>
      </c>
      <c r="N604" t="n">
        <v>0</v>
      </c>
      <c r="O604" t="n">
        <v>0</v>
      </c>
      <c r="P604" t="n">
        <v>0</v>
      </c>
      <c r="Q604" t="n">
        <v>0</v>
      </c>
      <c r="R604" s="2" t="inlineStr"/>
    </row>
    <row r="605" ht="15" customHeight="1">
      <c r="A605" t="inlineStr">
        <is>
          <t>A 7481-2022</t>
        </is>
      </c>
      <c r="B605" s="1" t="n">
        <v>44607</v>
      </c>
      <c r="C605" s="1" t="n">
        <v>45952</v>
      </c>
      <c r="D605" t="inlineStr">
        <is>
          <t>ÖREBRO LÄN</t>
        </is>
      </c>
      <c r="E605" t="inlineStr">
        <is>
          <t>ASKERSUND</t>
        </is>
      </c>
      <c r="G605" t="n">
        <v>2.5</v>
      </c>
      <c r="H605" t="n">
        <v>0</v>
      </c>
      <c r="I605" t="n">
        <v>0</v>
      </c>
      <c r="J605" t="n">
        <v>0</v>
      </c>
      <c r="K605" t="n">
        <v>0</v>
      </c>
      <c r="L605" t="n">
        <v>0</v>
      </c>
      <c r="M605" t="n">
        <v>0</v>
      </c>
      <c r="N605" t="n">
        <v>0</v>
      </c>
      <c r="O605" t="n">
        <v>0</v>
      </c>
      <c r="P605" t="n">
        <v>0</v>
      </c>
      <c r="Q605" t="n">
        <v>0</v>
      </c>
      <c r="R605" s="2" t="inlineStr"/>
    </row>
    <row r="606" ht="15" customHeight="1">
      <c r="A606" t="inlineStr">
        <is>
          <t>A 12433-2021</t>
        </is>
      </c>
      <c r="B606" s="1" t="n">
        <v>44267</v>
      </c>
      <c r="C606" s="1" t="n">
        <v>45952</v>
      </c>
      <c r="D606" t="inlineStr">
        <is>
          <t>ÖREBRO LÄN</t>
        </is>
      </c>
      <c r="E606" t="inlineStr">
        <is>
          <t>ÖREBRO</t>
        </is>
      </c>
      <c r="F606" t="inlineStr">
        <is>
          <t>Kommuner</t>
        </is>
      </c>
      <c r="G606" t="n">
        <v>1</v>
      </c>
      <c r="H606" t="n">
        <v>0</v>
      </c>
      <c r="I606" t="n">
        <v>0</v>
      </c>
      <c r="J606" t="n">
        <v>0</v>
      </c>
      <c r="K606" t="n">
        <v>0</v>
      </c>
      <c r="L606" t="n">
        <v>0</v>
      </c>
      <c r="M606" t="n">
        <v>0</v>
      </c>
      <c r="N606" t="n">
        <v>0</v>
      </c>
      <c r="O606" t="n">
        <v>0</v>
      </c>
      <c r="P606" t="n">
        <v>0</v>
      </c>
      <c r="Q606" t="n">
        <v>0</v>
      </c>
      <c r="R606" s="2" t="inlineStr"/>
    </row>
    <row r="607" ht="15" customHeight="1">
      <c r="A607" t="inlineStr">
        <is>
          <t>A 11361-2022</t>
        </is>
      </c>
      <c r="B607" s="1" t="n">
        <v>44630</v>
      </c>
      <c r="C607" s="1" t="n">
        <v>45952</v>
      </c>
      <c r="D607" t="inlineStr">
        <is>
          <t>ÖREBRO LÄN</t>
        </is>
      </c>
      <c r="E607" t="inlineStr">
        <is>
          <t>LINDESBERG</t>
        </is>
      </c>
      <c r="G607" t="n">
        <v>2.9</v>
      </c>
      <c r="H607" t="n">
        <v>0</v>
      </c>
      <c r="I607" t="n">
        <v>0</v>
      </c>
      <c r="J607" t="n">
        <v>0</v>
      </c>
      <c r="K607" t="n">
        <v>0</v>
      </c>
      <c r="L607" t="n">
        <v>0</v>
      </c>
      <c r="M607" t="n">
        <v>0</v>
      </c>
      <c r="N607" t="n">
        <v>0</v>
      </c>
      <c r="O607" t="n">
        <v>0</v>
      </c>
      <c r="P607" t="n">
        <v>0</v>
      </c>
      <c r="Q607" t="n">
        <v>0</v>
      </c>
      <c r="R607" s="2" t="inlineStr"/>
    </row>
    <row r="608" ht="15" customHeight="1">
      <c r="A608" t="inlineStr">
        <is>
          <t>A 1104-2022</t>
        </is>
      </c>
      <c r="B608" s="1" t="n">
        <v>44571</v>
      </c>
      <c r="C608" s="1" t="n">
        <v>45952</v>
      </c>
      <c r="D608" t="inlineStr">
        <is>
          <t>ÖREBRO LÄN</t>
        </is>
      </c>
      <c r="E608" t="inlineStr">
        <is>
          <t>LAXÅ</t>
        </is>
      </c>
      <c r="G608" t="n">
        <v>4.4</v>
      </c>
      <c r="H608" t="n">
        <v>0</v>
      </c>
      <c r="I608" t="n">
        <v>0</v>
      </c>
      <c r="J608" t="n">
        <v>0</v>
      </c>
      <c r="K608" t="n">
        <v>0</v>
      </c>
      <c r="L608" t="n">
        <v>0</v>
      </c>
      <c r="M608" t="n">
        <v>0</v>
      </c>
      <c r="N608" t="n">
        <v>0</v>
      </c>
      <c r="O608" t="n">
        <v>0</v>
      </c>
      <c r="P608" t="n">
        <v>0</v>
      </c>
      <c r="Q608" t="n">
        <v>0</v>
      </c>
      <c r="R608" s="2" t="inlineStr"/>
    </row>
    <row r="609" ht="15" customHeight="1">
      <c r="A609" t="inlineStr">
        <is>
          <t>A 22153-2022</t>
        </is>
      </c>
      <c r="B609" s="1" t="n">
        <v>44712</v>
      </c>
      <c r="C609" s="1" t="n">
        <v>45952</v>
      </c>
      <c r="D609" t="inlineStr">
        <is>
          <t>ÖREBRO LÄN</t>
        </is>
      </c>
      <c r="E609" t="inlineStr">
        <is>
          <t>ÖREBRO</t>
        </is>
      </c>
      <c r="G609" t="n">
        <v>2.7</v>
      </c>
      <c r="H609" t="n">
        <v>0</v>
      </c>
      <c r="I609" t="n">
        <v>0</v>
      </c>
      <c r="J609" t="n">
        <v>0</v>
      </c>
      <c r="K609" t="n">
        <v>0</v>
      </c>
      <c r="L609" t="n">
        <v>0</v>
      </c>
      <c r="M609" t="n">
        <v>0</v>
      </c>
      <c r="N609" t="n">
        <v>0</v>
      </c>
      <c r="O609" t="n">
        <v>0</v>
      </c>
      <c r="P609" t="n">
        <v>0</v>
      </c>
      <c r="Q609" t="n">
        <v>0</v>
      </c>
      <c r="R609" s="2" t="inlineStr"/>
    </row>
    <row r="610" ht="15" customHeight="1">
      <c r="A610" t="inlineStr">
        <is>
          <t>A 49745-2022</t>
        </is>
      </c>
      <c r="B610" s="1" t="n">
        <v>44862</v>
      </c>
      <c r="C610" s="1" t="n">
        <v>45952</v>
      </c>
      <c r="D610" t="inlineStr">
        <is>
          <t>ÖREBRO LÄN</t>
        </is>
      </c>
      <c r="E610" t="inlineStr">
        <is>
          <t>LINDESBERG</t>
        </is>
      </c>
      <c r="F610" t="inlineStr">
        <is>
          <t>Sveaskog</t>
        </is>
      </c>
      <c r="G610" t="n">
        <v>3.1</v>
      </c>
      <c r="H610" t="n">
        <v>0</v>
      </c>
      <c r="I610" t="n">
        <v>0</v>
      </c>
      <c r="J610" t="n">
        <v>0</v>
      </c>
      <c r="K610" t="n">
        <v>0</v>
      </c>
      <c r="L610" t="n">
        <v>0</v>
      </c>
      <c r="M610" t="n">
        <v>0</v>
      </c>
      <c r="N610" t="n">
        <v>0</v>
      </c>
      <c r="O610" t="n">
        <v>0</v>
      </c>
      <c r="P610" t="n">
        <v>0</v>
      </c>
      <c r="Q610" t="n">
        <v>0</v>
      </c>
      <c r="R610" s="2" t="inlineStr"/>
    </row>
    <row r="611" ht="15" customHeight="1">
      <c r="A611" t="inlineStr">
        <is>
          <t>A 7510-2022</t>
        </is>
      </c>
      <c r="B611" s="1" t="n">
        <v>44607.48398148148</v>
      </c>
      <c r="C611" s="1" t="n">
        <v>45952</v>
      </c>
      <c r="D611" t="inlineStr">
        <is>
          <t>ÖREBRO LÄN</t>
        </is>
      </c>
      <c r="E611" t="inlineStr">
        <is>
          <t>DEGERFORS</t>
        </is>
      </c>
      <c r="F611" t="inlineStr">
        <is>
          <t>Sveaskog</t>
        </is>
      </c>
      <c r="G611" t="n">
        <v>2.4</v>
      </c>
      <c r="H611" t="n">
        <v>0</v>
      </c>
      <c r="I611" t="n">
        <v>0</v>
      </c>
      <c r="J611" t="n">
        <v>0</v>
      </c>
      <c r="K611" t="n">
        <v>0</v>
      </c>
      <c r="L611" t="n">
        <v>0</v>
      </c>
      <c r="M611" t="n">
        <v>0</v>
      </c>
      <c r="N611" t="n">
        <v>0</v>
      </c>
      <c r="O611" t="n">
        <v>0</v>
      </c>
      <c r="P611" t="n">
        <v>0</v>
      </c>
      <c r="Q611" t="n">
        <v>0</v>
      </c>
      <c r="R611" s="2" t="inlineStr"/>
    </row>
    <row r="612" ht="15" customHeight="1">
      <c r="A612" t="inlineStr">
        <is>
          <t>A 20070-2021</t>
        </is>
      </c>
      <c r="B612" s="1" t="n">
        <v>44314</v>
      </c>
      <c r="C612" s="1" t="n">
        <v>45952</v>
      </c>
      <c r="D612" t="inlineStr">
        <is>
          <t>ÖREBRO LÄN</t>
        </is>
      </c>
      <c r="E612" t="inlineStr">
        <is>
          <t>HÄLLEFORS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20071-2021</t>
        </is>
      </c>
      <c r="B613" s="1" t="n">
        <v>44314</v>
      </c>
      <c r="C613" s="1" t="n">
        <v>45952</v>
      </c>
      <c r="D613" t="inlineStr">
        <is>
          <t>ÖREBRO LÄN</t>
        </is>
      </c>
      <c r="E613" t="inlineStr">
        <is>
          <t>HÄLLEFORS</t>
        </is>
      </c>
      <c r="F613" t="inlineStr">
        <is>
          <t>Sveaskog</t>
        </is>
      </c>
      <c r="G613" t="n">
        <v>5.1</v>
      </c>
      <c r="H613" t="n">
        <v>0</v>
      </c>
      <c r="I613" t="n">
        <v>0</v>
      </c>
      <c r="J613" t="n">
        <v>0</v>
      </c>
      <c r="K613" t="n">
        <v>0</v>
      </c>
      <c r="L613" t="n">
        <v>0</v>
      </c>
      <c r="M613" t="n">
        <v>0</v>
      </c>
      <c r="N613" t="n">
        <v>0</v>
      </c>
      <c r="O613" t="n">
        <v>0</v>
      </c>
      <c r="P613" t="n">
        <v>0</v>
      </c>
      <c r="Q613" t="n">
        <v>0</v>
      </c>
      <c r="R613" s="2" t="inlineStr"/>
    </row>
    <row r="614" ht="15" customHeight="1">
      <c r="A614" t="inlineStr">
        <is>
          <t>A 11164-2022</t>
        </is>
      </c>
      <c r="B614" s="1" t="n">
        <v>44629</v>
      </c>
      <c r="C614" s="1" t="n">
        <v>45952</v>
      </c>
      <c r="D614" t="inlineStr">
        <is>
          <t>ÖREBRO LÄN</t>
        </is>
      </c>
      <c r="E614" t="inlineStr">
        <is>
          <t>LINDESBERG</t>
        </is>
      </c>
      <c r="G614" t="n">
        <v>6.7</v>
      </c>
      <c r="H614" t="n">
        <v>0</v>
      </c>
      <c r="I614" t="n">
        <v>0</v>
      </c>
      <c r="J614" t="n">
        <v>0</v>
      </c>
      <c r="K614" t="n">
        <v>0</v>
      </c>
      <c r="L614" t="n">
        <v>0</v>
      </c>
      <c r="M614" t="n">
        <v>0</v>
      </c>
      <c r="N614" t="n">
        <v>0</v>
      </c>
      <c r="O614" t="n">
        <v>0</v>
      </c>
      <c r="P614" t="n">
        <v>0</v>
      </c>
      <c r="Q614" t="n">
        <v>0</v>
      </c>
      <c r="R614" s="2" t="inlineStr"/>
    </row>
    <row r="615" ht="15" customHeight="1">
      <c r="A615" t="inlineStr">
        <is>
          <t>A 15574-2021</t>
        </is>
      </c>
      <c r="B615" s="1" t="n">
        <v>44285</v>
      </c>
      <c r="C615" s="1" t="n">
        <v>45952</v>
      </c>
      <c r="D615" t="inlineStr">
        <is>
          <t>ÖREBRO LÄN</t>
        </is>
      </c>
      <c r="E615" t="inlineStr">
        <is>
          <t>ÖREBRO</t>
        </is>
      </c>
      <c r="G615" t="n">
        <v>0.7</v>
      </c>
      <c r="H615" t="n">
        <v>0</v>
      </c>
      <c r="I615" t="n">
        <v>0</v>
      </c>
      <c r="J615" t="n">
        <v>0</v>
      </c>
      <c r="K615" t="n">
        <v>0</v>
      </c>
      <c r="L615" t="n">
        <v>0</v>
      </c>
      <c r="M615" t="n">
        <v>0</v>
      </c>
      <c r="N615" t="n">
        <v>0</v>
      </c>
      <c r="O615" t="n">
        <v>0</v>
      </c>
      <c r="P615" t="n">
        <v>0</v>
      </c>
      <c r="Q615" t="n">
        <v>0</v>
      </c>
      <c r="R615" s="2" t="inlineStr"/>
    </row>
    <row r="616" ht="15" customHeight="1">
      <c r="A616" t="inlineStr">
        <is>
          <t>A 22481-2022</t>
        </is>
      </c>
      <c r="B616" s="1" t="n">
        <v>44713.61145833333</v>
      </c>
      <c r="C616" s="1" t="n">
        <v>45952</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39876-2022</t>
        </is>
      </c>
      <c r="B617" s="1" t="n">
        <v>44819</v>
      </c>
      <c r="C617" s="1" t="n">
        <v>45952</v>
      </c>
      <c r="D617" t="inlineStr">
        <is>
          <t>ÖREBRO LÄN</t>
        </is>
      </c>
      <c r="E617" t="inlineStr">
        <is>
          <t>HÄLLEFORS</t>
        </is>
      </c>
      <c r="F617" t="inlineStr">
        <is>
          <t>Sveaskog</t>
        </is>
      </c>
      <c r="G617" t="n">
        <v>1.3</v>
      </c>
      <c r="H617" t="n">
        <v>0</v>
      </c>
      <c r="I617" t="n">
        <v>0</v>
      </c>
      <c r="J617" t="n">
        <v>0</v>
      </c>
      <c r="K617" t="n">
        <v>0</v>
      </c>
      <c r="L617" t="n">
        <v>0</v>
      </c>
      <c r="M617" t="n">
        <v>0</v>
      </c>
      <c r="N617" t="n">
        <v>0</v>
      </c>
      <c r="O617" t="n">
        <v>0</v>
      </c>
      <c r="P617" t="n">
        <v>0</v>
      </c>
      <c r="Q617" t="n">
        <v>0</v>
      </c>
      <c r="R617" s="2" t="inlineStr"/>
    </row>
    <row r="618" ht="15" customHeight="1">
      <c r="A618" t="inlineStr">
        <is>
          <t>A 37302-2021</t>
        </is>
      </c>
      <c r="B618" s="1" t="n">
        <v>44397</v>
      </c>
      <c r="C618" s="1" t="n">
        <v>45952</v>
      </c>
      <c r="D618" t="inlineStr">
        <is>
          <t>ÖREBRO LÄN</t>
        </is>
      </c>
      <c r="E618" t="inlineStr">
        <is>
          <t>DEGERFORS</t>
        </is>
      </c>
      <c r="G618" t="n">
        <v>1.8</v>
      </c>
      <c r="H618" t="n">
        <v>0</v>
      </c>
      <c r="I618" t="n">
        <v>0</v>
      </c>
      <c r="J618" t="n">
        <v>0</v>
      </c>
      <c r="K618" t="n">
        <v>0</v>
      </c>
      <c r="L618" t="n">
        <v>0</v>
      </c>
      <c r="M618" t="n">
        <v>0</v>
      </c>
      <c r="N618" t="n">
        <v>0</v>
      </c>
      <c r="O618" t="n">
        <v>0</v>
      </c>
      <c r="P618" t="n">
        <v>0</v>
      </c>
      <c r="Q618" t="n">
        <v>0</v>
      </c>
      <c r="R618" s="2" t="inlineStr"/>
    </row>
    <row r="619" ht="15" customHeight="1">
      <c r="A619" t="inlineStr">
        <is>
          <t>A 55570-2020</t>
        </is>
      </c>
      <c r="B619" s="1" t="n">
        <v>44131</v>
      </c>
      <c r="C619" s="1" t="n">
        <v>45952</v>
      </c>
      <c r="D619" t="inlineStr">
        <is>
          <t>ÖREBRO LÄN</t>
        </is>
      </c>
      <c r="E619" t="inlineStr">
        <is>
          <t>ÖREBRO</t>
        </is>
      </c>
      <c r="G619" t="n">
        <v>1.9</v>
      </c>
      <c r="H619" t="n">
        <v>0</v>
      </c>
      <c r="I619" t="n">
        <v>0</v>
      </c>
      <c r="J619" t="n">
        <v>0</v>
      </c>
      <c r="K619" t="n">
        <v>0</v>
      </c>
      <c r="L619" t="n">
        <v>0</v>
      </c>
      <c r="M619" t="n">
        <v>0</v>
      </c>
      <c r="N619" t="n">
        <v>0</v>
      </c>
      <c r="O619" t="n">
        <v>0</v>
      </c>
      <c r="P619" t="n">
        <v>0</v>
      </c>
      <c r="Q619" t="n">
        <v>0</v>
      </c>
      <c r="R619" s="2" t="inlineStr"/>
    </row>
    <row r="620" ht="15" customHeight="1">
      <c r="A620" t="inlineStr">
        <is>
          <t>A 66970-2021</t>
        </is>
      </c>
      <c r="B620" s="1" t="n">
        <v>44522</v>
      </c>
      <c r="C620" s="1" t="n">
        <v>45952</v>
      </c>
      <c r="D620" t="inlineStr">
        <is>
          <t>ÖREBRO LÄN</t>
        </is>
      </c>
      <c r="E620" t="inlineStr">
        <is>
          <t>ÖREBRO</t>
        </is>
      </c>
      <c r="G620" t="n">
        <v>1</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45952</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45952</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25661-2021</t>
        </is>
      </c>
      <c r="B623" s="1" t="n">
        <v>44343.5646875</v>
      </c>
      <c r="C623" s="1" t="n">
        <v>45952</v>
      </c>
      <c r="D623" t="inlineStr">
        <is>
          <t>ÖREBRO LÄN</t>
        </is>
      </c>
      <c r="E623" t="inlineStr">
        <is>
          <t>ASKERSUND</t>
        </is>
      </c>
      <c r="F623" t="inlineStr">
        <is>
          <t>Sveaskog</t>
        </is>
      </c>
      <c r="G623" t="n">
        <v>1</v>
      </c>
      <c r="H623" t="n">
        <v>0</v>
      </c>
      <c r="I623" t="n">
        <v>0</v>
      </c>
      <c r="J623" t="n">
        <v>0</v>
      </c>
      <c r="K623" t="n">
        <v>0</v>
      </c>
      <c r="L623" t="n">
        <v>0</v>
      </c>
      <c r="M623" t="n">
        <v>0</v>
      </c>
      <c r="N623" t="n">
        <v>0</v>
      </c>
      <c r="O623" t="n">
        <v>0</v>
      </c>
      <c r="P623" t="n">
        <v>0</v>
      </c>
      <c r="Q623" t="n">
        <v>0</v>
      </c>
      <c r="R623" s="2" t="inlineStr"/>
    </row>
    <row r="624" ht="15" customHeight="1">
      <c r="A624" t="inlineStr">
        <is>
          <t>A 25724-2021</t>
        </is>
      </c>
      <c r="B624" s="1" t="n">
        <v>44343.62412037037</v>
      </c>
      <c r="C624" s="1" t="n">
        <v>45952</v>
      </c>
      <c r="D624" t="inlineStr">
        <is>
          <t>ÖREBRO LÄN</t>
        </is>
      </c>
      <c r="E624" t="inlineStr">
        <is>
          <t>ASKERSUND</t>
        </is>
      </c>
      <c r="G624" t="n">
        <v>0.4</v>
      </c>
      <c r="H624" t="n">
        <v>0</v>
      </c>
      <c r="I624" t="n">
        <v>0</v>
      </c>
      <c r="J624" t="n">
        <v>0</v>
      </c>
      <c r="K624" t="n">
        <v>0</v>
      </c>
      <c r="L624" t="n">
        <v>0</v>
      </c>
      <c r="M624" t="n">
        <v>0</v>
      </c>
      <c r="N624" t="n">
        <v>0</v>
      </c>
      <c r="O624" t="n">
        <v>0</v>
      </c>
      <c r="P624" t="n">
        <v>0</v>
      </c>
      <c r="Q624" t="n">
        <v>0</v>
      </c>
      <c r="R624" s="2" t="inlineStr"/>
    </row>
    <row r="625" ht="15" customHeight="1">
      <c r="A625" t="inlineStr">
        <is>
          <t>A 2851-2022</t>
        </is>
      </c>
      <c r="B625" s="1" t="n">
        <v>44581</v>
      </c>
      <c r="C625" s="1" t="n">
        <v>45952</v>
      </c>
      <c r="D625" t="inlineStr">
        <is>
          <t>ÖREBRO LÄN</t>
        </is>
      </c>
      <c r="E625" t="inlineStr">
        <is>
          <t>LEKEBERG</t>
        </is>
      </c>
      <c r="G625" t="n">
        <v>0.8</v>
      </c>
      <c r="H625" t="n">
        <v>0</v>
      </c>
      <c r="I625" t="n">
        <v>0</v>
      </c>
      <c r="J625" t="n">
        <v>0</v>
      </c>
      <c r="K625" t="n">
        <v>0</v>
      </c>
      <c r="L625" t="n">
        <v>0</v>
      </c>
      <c r="M625" t="n">
        <v>0</v>
      </c>
      <c r="N625" t="n">
        <v>0</v>
      </c>
      <c r="O625" t="n">
        <v>0</v>
      </c>
      <c r="P625" t="n">
        <v>0</v>
      </c>
      <c r="Q625" t="n">
        <v>0</v>
      </c>
      <c r="R625" s="2" t="inlineStr"/>
    </row>
    <row r="626" ht="15" customHeight="1">
      <c r="A626" t="inlineStr">
        <is>
          <t>A 32615-2021</t>
        </is>
      </c>
      <c r="B626" s="1" t="n">
        <v>44375</v>
      </c>
      <c r="C626" s="1" t="n">
        <v>45952</v>
      </c>
      <c r="D626" t="inlineStr">
        <is>
          <t>ÖREBRO LÄN</t>
        </is>
      </c>
      <c r="E626" t="inlineStr">
        <is>
          <t>LINDESBERG</t>
        </is>
      </c>
      <c r="G626" t="n">
        <v>5</v>
      </c>
      <c r="H626" t="n">
        <v>0</v>
      </c>
      <c r="I626" t="n">
        <v>0</v>
      </c>
      <c r="J626" t="n">
        <v>0</v>
      </c>
      <c r="K626" t="n">
        <v>0</v>
      </c>
      <c r="L626" t="n">
        <v>0</v>
      </c>
      <c r="M626" t="n">
        <v>0</v>
      </c>
      <c r="N626" t="n">
        <v>0</v>
      </c>
      <c r="O626" t="n">
        <v>0</v>
      </c>
      <c r="P626" t="n">
        <v>0</v>
      </c>
      <c r="Q626" t="n">
        <v>0</v>
      </c>
      <c r="R626" s="2" t="inlineStr"/>
    </row>
    <row r="627" ht="15" customHeight="1">
      <c r="A627" t="inlineStr">
        <is>
          <t>A 16435-2022</t>
        </is>
      </c>
      <c r="B627" s="1" t="n">
        <v>44671</v>
      </c>
      <c r="C627" s="1" t="n">
        <v>45952</v>
      </c>
      <c r="D627" t="inlineStr">
        <is>
          <t>ÖREBRO LÄN</t>
        </is>
      </c>
      <c r="E627" t="inlineStr">
        <is>
          <t>LINDESBERG</t>
        </is>
      </c>
      <c r="G627" t="n">
        <v>3.2</v>
      </c>
      <c r="H627" t="n">
        <v>0</v>
      </c>
      <c r="I627" t="n">
        <v>0</v>
      </c>
      <c r="J627" t="n">
        <v>0</v>
      </c>
      <c r="K627" t="n">
        <v>0</v>
      </c>
      <c r="L627" t="n">
        <v>0</v>
      </c>
      <c r="M627" t="n">
        <v>0</v>
      </c>
      <c r="N627" t="n">
        <v>0</v>
      </c>
      <c r="O627" t="n">
        <v>0</v>
      </c>
      <c r="P627" t="n">
        <v>0</v>
      </c>
      <c r="Q627" t="n">
        <v>0</v>
      </c>
      <c r="R627" s="2" t="inlineStr"/>
    </row>
    <row r="628" ht="15" customHeight="1">
      <c r="A628" t="inlineStr">
        <is>
          <t>A 28558-2022</t>
        </is>
      </c>
      <c r="B628" s="1" t="n">
        <v>44748</v>
      </c>
      <c r="C628" s="1" t="n">
        <v>45952</v>
      </c>
      <c r="D628" t="inlineStr">
        <is>
          <t>ÖREBRO LÄN</t>
        </is>
      </c>
      <c r="E628" t="inlineStr">
        <is>
          <t>HÄLLEFORS</t>
        </is>
      </c>
      <c r="G628" t="n">
        <v>0.2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45952</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45952</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16759-2022</t>
        </is>
      </c>
      <c r="B631" s="1" t="n">
        <v>44673</v>
      </c>
      <c r="C631" s="1" t="n">
        <v>45952</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21606-2022</t>
        </is>
      </c>
      <c r="B632" s="1" t="n">
        <v>44706.65927083333</v>
      </c>
      <c r="C632" s="1" t="n">
        <v>45952</v>
      </c>
      <c r="D632" t="inlineStr">
        <is>
          <t>ÖREBRO LÄN</t>
        </is>
      </c>
      <c r="E632" t="inlineStr">
        <is>
          <t>LINDESBERG</t>
        </is>
      </c>
      <c r="F632" t="inlineStr">
        <is>
          <t>Sveaskog</t>
        </is>
      </c>
      <c r="G632" t="n">
        <v>0.4</v>
      </c>
      <c r="H632" t="n">
        <v>0</v>
      </c>
      <c r="I632" t="n">
        <v>0</v>
      </c>
      <c r="J632" t="n">
        <v>0</v>
      </c>
      <c r="K632" t="n">
        <v>0</v>
      </c>
      <c r="L632" t="n">
        <v>0</v>
      </c>
      <c r="M632" t="n">
        <v>0</v>
      </c>
      <c r="N632" t="n">
        <v>0</v>
      </c>
      <c r="O632" t="n">
        <v>0</v>
      </c>
      <c r="P632" t="n">
        <v>0</v>
      </c>
      <c r="Q632" t="n">
        <v>0</v>
      </c>
      <c r="R632" s="2" t="inlineStr"/>
    </row>
    <row r="633" ht="15" customHeight="1">
      <c r="A633" t="inlineStr">
        <is>
          <t>A 67627-2020</t>
        </is>
      </c>
      <c r="B633" s="1" t="n">
        <v>44182</v>
      </c>
      <c r="C633" s="1" t="n">
        <v>45952</v>
      </c>
      <c r="D633" t="inlineStr">
        <is>
          <t>ÖREBRO LÄN</t>
        </is>
      </c>
      <c r="E633" t="inlineStr">
        <is>
          <t>ÖREBRO</t>
        </is>
      </c>
      <c r="G633" t="n">
        <v>1.4</v>
      </c>
      <c r="H633" t="n">
        <v>0</v>
      </c>
      <c r="I633" t="n">
        <v>0</v>
      </c>
      <c r="J633" t="n">
        <v>0</v>
      </c>
      <c r="K633" t="n">
        <v>0</v>
      </c>
      <c r="L633" t="n">
        <v>0</v>
      </c>
      <c r="M633" t="n">
        <v>0</v>
      </c>
      <c r="N633" t="n">
        <v>0</v>
      </c>
      <c r="O633" t="n">
        <v>0</v>
      </c>
      <c r="P633" t="n">
        <v>0</v>
      </c>
      <c r="Q633" t="n">
        <v>0</v>
      </c>
      <c r="R633" s="2" t="inlineStr"/>
    </row>
    <row r="634" ht="15" customHeight="1">
      <c r="A634" t="inlineStr">
        <is>
          <t>A 65861-2020</t>
        </is>
      </c>
      <c r="B634" s="1" t="n">
        <v>44174</v>
      </c>
      <c r="C634" s="1" t="n">
        <v>45952</v>
      </c>
      <c r="D634" t="inlineStr">
        <is>
          <t>ÖREBRO LÄN</t>
        </is>
      </c>
      <c r="E634" t="inlineStr">
        <is>
          <t>HÄLLEFORS</t>
        </is>
      </c>
      <c r="G634" t="n">
        <v>3.6</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45952</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45952</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45952</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57044-2020</t>
        </is>
      </c>
      <c r="B638" s="1" t="n">
        <v>44137</v>
      </c>
      <c r="C638" s="1" t="n">
        <v>45952</v>
      </c>
      <c r="D638" t="inlineStr">
        <is>
          <t>ÖREBRO LÄN</t>
        </is>
      </c>
      <c r="E638" t="inlineStr">
        <is>
          <t>LEKEBERG</t>
        </is>
      </c>
      <c r="G638" t="n">
        <v>5.5</v>
      </c>
      <c r="H638" t="n">
        <v>0</v>
      </c>
      <c r="I638" t="n">
        <v>0</v>
      </c>
      <c r="J638" t="n">
        <v>0</v>
      </c>
      <c r="K638" t="n">
        <v>0</v>
      </c>
      <c r="L638" t="n">
        <v>0</v>
      </c>
      <c r="M638" t="n">
        <v>0</v>
      </c>
      <c r="N638" t="n">
        <v>0</v>
      </c>
      <c r="O638" t="n">
        <v>0</v>
      </c>
      <c r="P638" t="n">
        <v>0</v>
      </c>
      <c r="Q638" t="n">
        <v>0</v>
      </c>
      <c r="R638" s="2" t="inlineStr"/>
    </row>
    <row r="639" ht="15" customHeight="1">
      <c r="A639" t="inlineStr">
        <is>
          <t>A 4425-2021</t>
        </is>
      </c>
      <c r="B639" s="1" t="n">
        <v>44224</v>
      </c>
      <c r="C639" s="1" t="n">
        <v>45952</v>
      </c>
      <c r="D639" t="inlineStr">
        <is>
          <t>ÖREBRO LÄN</t>
        </is>
      </c>
      <c r="E639" t="inlineStr">
        <is>
          <t>LINDESBERG</t>
        </is>
      </c>
      <c r="G639" t="n">
        <v>5.9</v>
      </c>
      <c r="H639" t="n">
        <v>0</v>
      </c>
      <c r="I639" t="n">
        <v>0</v>
      </c>
      <c r="J639" t="n">
        <v>0</v>
      </c>
      <c r="K639" t="n">
        <v>0</v>
      </c>
      <c r="L639" t="n">
        <v>0</v>
      </c>
      <c r="M639" t="n">
        <v>0</v>
      </c>
      <c r="N639" t="n">
        <v>0</v>
      </c>
      <c r="O639" t="n">
        <v>0</v>
      </c>
      <c r="P639" t="n">
        <v>0</v>
      </c>
      <c r="Q639" t="n">
        <v>0</v>
      </c>
      <c r="R639" s="2" t="inlineStr"/>
    </row>
    <row r="640" ht="15" customHeight="1">
      <c r="A640" t="inlineStr">
        <is>
          <t>A 10960-2021</t>
        </is>
      </c>
      <c r="B640" s="1" t="n">
        <v>44260.31335648148</v>
      </c>
      <c r="C640" s="1" t="n">
        <v>45952</v>
      </c>
      <c r="D640" t="inlineStr">
        <is>
          <t>ÖREBRO LÄN</t>
        </is>
      </c>
      <c r="E640" t="inlineStr">
        <is>
          <t>LINDESBERG</t>
        </is>
      </c>
      <c r="G640" t="n">
        <v>2.1</v>
      </c>
      <c r="H640" t="n">
        <v>0</v>
      </c>
      <c r="I640" t="n">
        <v>0</v>
      </c>
      <c r="J640" t="n">
        <v>0</v>
      </c>
      <c r="K640" t="n">
        <v>0</v>
      </c>
      <c r="L640" t="n">
        <v>0</v>
      </c>
      <c r="M640" t="n">
        <v>0</v>
      </c>
      <c r="N640" t="n">
        <v>0</v>
      </c>
      <c r="O640" t="n">
        <v>0</v>
      </c>
      <c r="P640" t="n">
        <v>0</v>
      </c>
      <c r="Q640" t="n">
        <v>0</v>
      </c>
      <c r="R640" s="2" t="inlineStr"/>
    </row>
    <row r="641" ht="15" customHeight="1">
      <c r="A641" t="inlineStr">
        <is>
          <t>A 30835-2021</t>
        </is>
      </c>
      <c r="B641" s="1" t="n">
        <v>44365</v>
      </c>
      <c r="C641" s="1" t="n">
        <v>45952</v>
      </c>
      <c r="D641" t="inlineStr">
        <is>
          <t>ÖREBRO LÄN</t>
        </is>
      </c>
      <c r="E641" t="inlineStr">
        <is>
          <t>KUMLA</t>
        </is>
      </c>
      <c r="G641" t="n">
        <v>0.9</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45952</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64007-2021</t>
        </is>
      </c>
      <c r="B643" s="1" t="n">
        <v>44510.28791666667</v>
      </c>
      <c r="C643" s="1" t="n">
        <v>45952</v>
      </c>
      <c r="D643" t="inlineStr">
        <is>
          <t>ÖREBRO LÄN</t>
        </is>
      </c>
      <c r="E643" t="inlineStr">
        <is>
          <t>ASKERSUND</t>
        </is>
      </c>
      <c r="G643" t="n">
        <v>2</v>
      </c>
      <c r="H643" t="n">
        <v>0</v>
      </c>
      <c r="I643" t="n">
        <v>0</v>
      </c>
      <c r="J643" t="n">
        <v>0</v>
      </c>
      <c r="K643" t="n">
        <v>0</v>
      </c>
      <c r="L643" t="n">
        <v>0</v>
      </c>
      <c r="M643" t="n">
        <v>0</v>
      </c>
      <c r="N643" t="n">
        <v>0</v>
      </c>
      <c r="O643" t="n">
        <v>0</v>
      </c>
      <c r="P643" t="n">
        <v>0</v>
      </c>
      <c r="Q643" t="n">
        <v>0</v>
      </c>
      <c r="R643" s="2" t="inlineStr"/>
    </row>
    <row r="644" ht="15" customHeight="1">
      <c r="A644" t="inlineStr">
        <is>
          <t>A 65510-2020</t>
        </is>
      </c>
      <c r="B644" s="1" t="n">
        <v>44173</v>
      </c>
      <c r="C644" s="1" t="n">
        <v>45952</v>
      </c>
      <c r="D644" t="inlineStr">
        <is>
          <t>ÖREBRO LÄN</t>
        </is>
      </c>
      <c r="E644" t="inlineStr">
        <is>
          <t>NORA</t>
        </is>
      </c>
      <c r="G644" t="n">
        <v>3.7</v>
      </c>
      <c r="H644" t="n">
        <v>0</v>
      </c>
      <c r="I644" t="n">
        <v>0</v>
      </c>
      <c r="J644" t="n">
        <v>0</v>
      </c>
      <c r="K644" t="n">
        <v>0</v>
      </c>
      <c r="L644" t="n">
        <v>0</v>
      </c>
      <c r="M644" t="n">
        <v>0</v>
      </c>
      <c r="N644" t="n">
        <v>0</v>
      </c>
      <c r="O644" t="n">
        <v>0</v>
      </c>
      <c r="P644" t="n">
        <v>0</v>
      </c>
      <c r="Q644" t="n">
        <v>0</v>
      </c>
      <c r="R644" s="2" t="inlineStr"/>
    </row>
    <row r="645" ht="15" customHeight="1">
      <c r="A645" t="inlineStr">
        <is>
          <t>A 8884-2022</t>
        </is>
      </c>
      <c r="B645" s="1" t="n">
        <v>44614.60990740741</v>
      </c>
      <c r="C645" s="1" t="n">
        <v>45952</v>
      </c>
      <c r="D645" t="inlineStr">
        <is>
          <t>ÖREBRO LÄN</t>
        </is>
      </c>
      <c r="E645" t="inlineStr">
        <is>
          <t>ÖREBRO</t>
        </is>
      </c>
      <c r="G645" t="n">
        <v>1</v>
      </c>
      <c r="H645" t="n">
        <v>0</v>
      </c>
      <c r="I645" t="n">
        <v>0</v>
      </c>
      <c r="J645" t="n">
        <v>0</v>
      </c>
      <c r="K645" t="n">
        <v>0</v>
      </c>
      <c r="L645" t="n">
        <v>0</v>
      </c>
      <c r="M645" t="n">
        <v>0</v>
      </c>
      <c r="N645" t="n">
        <v>0</v>
      </c>
      <c r="O645" t="n">
        <v>0</v>
      </c>
      <c r="P645" t="n">
        <v>0</v>
      </c>
      <c r="Q645" t="n">
        <v>0</v>
      </c>
      <c r="R645" s="2" t="inlineStr"/>
    </row>
    <row r="646" ht="15" customHeight="1">
      <c r="A646" t="inlineStr">
        <is>
          <t>A 3078-2021</t>
        </is>
      </c>
      <c r="B646" s="1" t="n">
        <v>44216</v>
      </c>
      <c r="C646" s="1" t="n">
        <v>45952</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3085-2021</t>
        </is>
      </c>
      <c r="B647" s="1" t="n">
        <v>44216</v>
      </c>
      <c r="C647" s="1" t="n">
        <v>45952</v>
      </c>
      <c r="D647" t="inlineStr">
        <is>
          <t>ÖREBRO LÄN</t>
        </is>
      </c>
      <c r="E647" t="inlineStr">
        <is>
          <t>ÖREBRO</t>
        </is>
      </c>
      <c r="G647" t="n">
        <v>2.9</v>
      </c>
      <c r="H647" t="n">
        <v>0</v>
      </c>
      <c r="I647" t="n">
        <v>0</v>
      </c>
      <c r="J647" t="n">
        <v>0</v>
      </c>
      <c r="K647" t="n">
        <v>0</v>
      </c>
      <c r="L647" t="n">
        <v>0</v>
      </c>
      <c r="M647" t="n">
        <v>0</v>
      </c>
      <c r="N647" t="n">
        <v>0</v>
      </c>
      <c r="O647" t="n">
        <v>0</v>
      </c>
      <c r="P647" t="n">
        <v>0</v>
      </c>
      <c r="Q647" t="n">
        <v>0</v>
      </c>
      <c r="R647" s="2" t="inlineStr"/>
    </row>
    <row r="648" ht="15" customHeight="1">
      <c r="A648" t="inlineStr">
        <is>
          <t>A 34082-2021</t>
        </is>
      </c>
      <c r="B648" s="1" t="n">
        <v>44379.41850694444</v>
      </c>
      <c r="C648" s="1" t="n">
        <v>45952</v>
      </c>
      <c r="D648" t="inlineStr">
        <is>
          <t>ÖREBRO LÄN</t>
        </is>
      </c>
      <c r="E648" t="inlineStr">
        <is>
          <t>LAXÅ</t>
        </is>
      </c>
      <c r="F648" t="inlineStr">
        <is>
          <t>Sveaskog</t>
        </is>
      </c>
      <c r="G648" t="n">
        <v>1.5</v>
      </c>
      <c r="H648" t="n">
        <v>0</v>
      </c>
      <c r="I648" t="n">
        <v>0</v>
      </c>
      <c r="J648" t="n">
        <v>0</v>
      </c>
      <c r="K648" t="n">
        <v>0</v>
      </c>
      <c r="L648" t="n">
        <v>0</v>
      </c>
      <c r="M648" t="n">
        <v>0</v>
      </c>
      <c r="N648" t="n">
        <v>0</v>
      </c>
      <c r="O648" t="n">
        <v>0</v>
      </c>
      <c r="P648" t="n">
        <v>0</v>
      </c>
      <c r="Q648" t="n">
        <v>0</v>
      </c>
      <c r="R648" s="2" t="inlineStr"/>
    </row>
    <row r="649" ht="15" customHeight="1">
      <c r="A649" t="inlineStr">
        <is>
          <t>A 53153-2021</t>
        </is>
      </c>
      <c r="B649" s="1" t="n">
        <v>44468.34099537037</v>
      </c>
      <c r="C649" s="1" t="n">
        <v>45952</v>
      </c>
      <c r="D649" t="inlineStr">
        <is>
          <t>ÖREBRO LÄN</t>
        </is>
      </c>
      <c r="E649" t="inlineStr">
        <is>
          <t>LINDESBERG</t>
        </is>
      </c>
      <c r="F649" t="inlineStr">
        <is>
          <t>Sveaskog</t>
        </is>
      </c>
      <c r="G649" t="n">
        <v>3.9</v>
      </c>
      <c r="H649" t="n">
        <v>0</v>
      </c>
      <c r="I649" t="n">
        <v>0</v>
      </c>
      <c r="J649" t="n">
        <v>0</v>
      </c>
      <c r="K649" t="n">
        <v>0</v>
      </c>
      <c r="L649" t="n">
        <v>0</v>
      </c>
      <c r="M649" t="n">
        <v>0</v>
      </c>
      <c r="N649" t="n">
        <v>0</v>
      </c>
      <c r="O649" t="n">
        <v>0</v>
      </c>
      <c r="P649" t="n">
        <v>0</v>
      </c>
      <c r="Q649" t="n">
        <v>0</v>
      </c>
      <c r="R649" s="2" t="inlineStr"/>
    </row>
    <row r="650" ht="15" customHeight="1">
      <c r="A650" t="inlineStr">
        <is>
          <t>A 50559-2021</t>
        </is>
      </c>
      <c r="B650" s="1" t="n">
        <v>44459</v>
      </c>
      <c r="C650" s="1" t="n">
        <v>45952</v>
      </c>
      <c r="D650" t="inlineStr">
        <is>
          <t>ÖREBRO LÄN</t>
        </is>
      </c>
      <c r="E650" t="inlineStr">
        <is>
          <t>ASKERSUND</t>
        </is>
      </c>
      <c r="G650" t="n">
        <v>2.1</v>
      </c>
      <c r="H650" t="n">
        <v>0</v>
      </c>
      <c r="I650" t="n">
        <v>0</v>
      </c>
      <c r="J650" t="n">
        <v>0</v>
      </c>
      <c r="K650" t="n">
        <v>0</v>
      </c>
      <c r="L650" t="n">
        <v>0</v>
      </c>
      <c r="M650" t="n">
        <v>0</v>
      </c>
      <c r="N650" t="n">
        <v>0</v>
      </c>
      <c r="O650" t="n">
        <v>0</v>
      </c>
      <c r="P650" t="n">
        <v>0</v>
      </c>
      <c r="Q650" t="n">
        <v>0</v>
      </c>
      <c r="R650" s="2" t="inlineStr"/>
    </row>
    <row r="651" ht="15" customHeight="1">
      <c r="A651" t="inlineStr">
        <is>
          <t>A 10385-2021</t>
        </is>
      </c>
      <c r="B651" s="1" t="n">
        <v>44257</v>
      </c>
      <c r="C651" s="1" t="n">
        <v>45952</v>
      </c>
      <c r="D651" t="inlineStr">
        <is>
          <t>ÖREBRO LÄN</t>
        </is>
      </c>
      <c r="E651" t="inlineStr">
        <is>
          <t>LINDESBERG</t>
        </is>
      </c>
      <c r="F651" t="inlineStr">
        <is>
          <t>Kommuner</t>
        </is>
      </c>
      <c r="G651" t="n">
        <v>0.6</v>
      </c>
      <c r="H651" t="n">
        <v>0</v>
      </c>
      <c r="I651" t="n">
        <v>0</v>
      </c>
      <c r="J651" t="n">
        <v>0</v>
      </c>
      <c r="K651" t="n">
        <v>0</v>
      </c>
      <c r="L651" t="n">
        <v>0</v>
      </c>
      <c r="M651" t="n">
        <v>0</v>
      </c>
      <c r="N651" t="n">
        <v>0</v>
      </c>
      <c r="O651" t="n">
        <v>0</v>
      </c>
      <c r="P651" t="n">
        <v>0</v>
      </c>
      <c r="Q651" t="n">
        <v>0</v>
      </c>
      <c r="R651" s="2" t="inlineStr"/>
    </row>
    <row r="652" ht="15" customHeight="1">
      <c r="A652" t="inlineStr">
        <is>
          <t>A 32512-2022</t>
        </is>
      </c>
      <c r="B652" s="1" t="n">
        <v>44782.74493055556</v>
      </c>
      <c r="C652" s="1" t="n">
        <v>45952</v>
      </c>
      <c r="D652" t="inlineStr">
        <is>
          <t>ÖREBRO LÄN</t>
        </is>
      </c>
      <c r="E652" t="inlineStr">
        <is>
          <t>HALLSBERG</t>
        </is>
      </c>
      <c r="G652" t="n">
        <v>1.5</v>
      </c>
      <c r="H652" t="n">
        <v>0</v>
      </c>
      <c r="I652" t="n">
        <v>0</v>
      </c>
      <c r="J652" t="n">
        <v>0</v>
      </c>
      <c r="K652" t="n">
        <v>0</v>
      </c>
      <c r="L652" t="n">
        <v>0</v>
      </c>
      <c r="M652" t="n">
        <v>0</v>
      </c>
      <c r="N652" t="n">
        <v>0</v>
      </c>
      <c r="O652" t="n">
        <v>0</v>
      </c>
      <c r="P652" t="n">
        <v>0</v>
      </c>
      <c r="Q652" t="n">
        <v>0</v>
      </c>
      <c r="R652" s="2" t="inlineStr"/>
    </row>
    <row r="653" ht="15" customHeight="1">
      <c r="A653" t="inlineStr">
        <is>
          <t>A 55012-2022</t>
        </is>
      </c>
      <c r="B653" s="1" t="n">
        <v>44886.52833333334</v>
      </c>
      <c r="C653" s="1" t="n">
        <v>45952</v>
      </c>
      <c r="D653" t="inlineStr">
        <is>
          <t>ÖREBRO LÄN</t>
        </is>
      </c>
      <c r="E653" t="inlineStr">
        <is>
          <t>ÖREBRO</t>
        </is>
      </c>
      <c r="G653" t="n">
        <v>5.1</v>
      </c>
      <c r="H653" t="n">
        <v>0</v>
      </c>
      <c r="I653" t="n">
        <v>0</v>
      </c>
      <c r="J653" t="n">
        <v>0</v>
      </c>
      <c r="K653" t="n">
        <v>0</v>
      </c>
      <c r="L653" t="n">
        <v>0</v>
      </c>
      <c r="M653" t="n">
        <v>0</v>
      </c>
      <c r="N653" t="n">
        <v>0</v>
      </c>
      <c r="O653" t="n">
        <v>0</v>
      </c>
      <c r="P653" t="n">
        <v>0</v>
      </c>
      <c r="Q653" t="n">
        <v>0</v>
      </c>
      <c r="R653" s="2" t="inlineStr"/>
    </row>
    <row r="654" ht="15" customHeight="1">
      <c r="A654" t="inlineStr">
        <is>
          <t>A 62454-2020</t>
        </is>
      </c>
      <c r="B654" s="1" t="n">
        <v>44160</v>
      </c>
      <c r="C654" s="1" t="n">
        <v>45952</v>
      </c>
      <c r="D654" t="inlineStr">
        <is>
          <t>ÖREBRO LÄN</t>
        </is>
      </c>
      <c r="E654" t="inlineStr">
        <is>
          <t>HÄLLEFORS</t>
        </is>
      </c>
      <c r="F654" t="inlineStr">
        <is>
          <t>Sveaskog</t>
        </is>
      </c>
      <c r="G654" t="n">
        <v>3.2</v>
      </c>
      <c r="H654" t="n">
        <v>0</v>
      </c>
      <c r="I654" t="n">
        <v>0</v>
      </c>
      <c r="J654" t="n">
        <v>0</v>
      </c>
      <c r="K654" t="n">
        <v>0</v>
      </c>
      <c r="L654" t="n">
        <v>0</v>
      </c>
      <c r="M654" t="n">
        <v>0</v>
      </c>
      <c r="N654" t="n">
        <v>0</v>
      </c>
      <c r="O654" t="n">
        <v>0</v>
      </c>
      <c r="P654" t="n">
        <v>0</v>
      </c>
      <c r="Q654" t="n">
        <v>0</v>
      </c>
      <c r="R654" s="2" t="inlineStr"/>
    </row>
    <row r="655" ht="15" customHeight="1">
      <c r="A655" t="inlineStr">
        <is>
          <t>A 62455-2020</t>
        </is>
      </c>
      <c r="B655" s="1" t="n">
        <v>44160</v>
      </c>
      <c r="C655" s="1" t="n">
        <v>45952</v>
      </c>
      <c r="D655" t="inlineStr">
        <is>
          <t>ÖREBRO LÄN</t>
        </is>
      </c>
      <c r="E655" t="inlineStr">
        <is>
          <t>HÄLLEFORS</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58145-2021</t>
        </is>
      </c>
      <c r="B656" s="1" t="n">
        <v>44487</v>
      </c>
      <c r="C656" s="1" t="n">
        <v>45952</v>
      </c>
      <c r="D656" t="inlineStr">
        <is>
          <t>ÖREBRO LÄN</t>
        </is>
      </c>
      <c r="E656" t="inlineStr">
        <is>
          <t>ASKERSUND</t>
        </is>
      </c>
      <c r="G656" t="n">
        <v>3.4</v>
      </c>
      <c r="H656" t="n">
        <v>0</v>
      </c>
      <c r="I656" t="n">
        <v>0</v>
      </c>
      <c r="J656" t="n">
        <v>0</v>
      </c>
      <c r="K656" t="n">
        <v>0</v>
      </c>
      <c r="L656" t="n">
        <v>0</v>
      </c>
      <c r="M656" t="n">
        <v>0</v>
      </c>
      <c r="N656" t="n">
        <v>0</v>
      </c>
      <c r="O656" t="n">
        <v>0</v>
      </c>
      <c r="P656" t="n">
        <v>0</v>
      </c>
      <c r="Q656" t="n">
        <v>0</v>
      </c>
      <c r="R656" s="2" t="inlineStr"/>
    </row>
    <row r="657" ht="15" customHeight="1">
      <c r="A657" t="inlineStr">
        <is>
          <t>A 39450-2021</t>
        </is>
      </c>
      <c r="B657" s="1" t="n">
        <v>44414.58070601852</v>
      </c>
      <c r="C657" s="1" t="n">
        <v>45952</v>
      </c>
      <c r="D657" t="inlineStr">
        <is>
          <t>ÖREBRO LÄN</t>
        </is>
      </c>
      <c r="E657" t="inlineStr">
        <is>
          <t>HALLSBERG</t>
        </is>
      </c>
      <c r="G657" t="n">
        <v>2.1</v>
      </c>
      <c r="H657" t="n">
        <v>0</v>
      </c>
      <c r="I657" t="n">
        <v>0</v>
      </c>
      <c r="J657" t="n">
        <v>0</v>
      </c>
      <c r="K657" t="n">
        <v>0</v>
      </c>
      <c r="L657" t="n">
        <v>0</v>
      </c>
      <c r="M657" t="n">
        <v>0</v>
      </c>
      <c r="N657" t="n">
        <v>0</v>
      </c>
      <c r="O657" t="n">
        <v>0</v>
      </c>
      <c r="P657" t="n">
        <v>0</v>
      </c>
      <c r="Q657" t="n">
        <v>0</v>
      </c>
      <c r="R657" s="2" t="inlineStr"/>
    </row>
    <row r="658" ht="15" customHeight="1">
      <c r="A658" t="inlineStr">
        <is>
          <t>A 29390-2022</t>
        </is>
      </c>
      <c r="B658" s="1" t="n">
        <v>44753</v>
      </c>
      <c r="C658" s="1" t="n">
        <v>45952</v>
      </c>
      <c r="D658" t="inlineStr">
        <is>
          <t>ÖREBRO LÄN</t>
        </is>
      </c>
      <c r="E658" t="inlineStr">
        <is>
          <t>ASKERSUND</t>
        </is>
      </c>
      <c r="F658" t="inlineStr">
        <is>
          <t>Övriga Aktiebolag</t>
        </is>
      </c>
      <c r="G658" t="n">
        <v>1.6</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45952</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47794-2021</t>
        </is>
      </c>
      <c r="B660" s="1" t="n">
        <v>44448</v>
      </c>
      <c r="C660" s="1" t="n">
        <v>45952</v>
      </c>
      <c r="D660" t="inlineStr">
        <is>
          <t>ÖREBRO LÄN</t>
        </is>
      </c>
      <c r="E660" t="inlineStr">
        <is>
          <t>NORA</t>
        </is>
      </c>
      <c r="G660" t="n">
        <v>0.6</v>
      </c>
      <c r="H660" t="n">
        <v>0</v>
      </c>
      <c r="I660" t="n">
        <v>0</v>
      </c>
      <c r="J660" t="n">
        <v>0</v>
      </c>
      <c r="K660" t="n">
        <v>0</v>
      </c>
      <c r="L660" t="n">
        <v>0</v>
      </c>
      <c r="M660" t="n">
        <v>0</v>
      </c>
      <c r="N660" t="n">
        <v>0</v>
      </c>
      <c r="O660" t="n">
        <v>0</v>
      </c>
      <c r="P660" t="n">
        <v>0</v>
      </c>
      <c r="Q660" t="n">
        <v>0</v>
      </c>
      <c r="R660" s="2" t="inlineStr"/>
    </row>
    <row r="661" ht="15" customHeight="1">
      <c r="A661" t="inlineStr">
        <is>
          <t>A 40099-2021</t>
        </is>
      </c>
      <c r="B661" s="1" t="n">
        <v>44418.58454861111</v>
      </c>
      <c r="C661" s="1" t="n">
        <v>45952</v>
      </c>
      <c r="D661" t="inlineStr">
        <is>
          <t>ÖREBRO LÄN</t>
        </is>
      </c>
      <c r="E661" t="inlineStr">
        <is>
          <t>LINDESBERG</t>
        </is>
      </c>
      <c r="G661" t="n">
        <v>2.9</v>
      </c>
      <c r="H661" t="n">
        <v>0</v>
      </c>
      <c r="I661" t="n">
        <v>0</v>
      </c>
      <c r="J661" t="n">
        <v>0</v>
      </c>
      <c r="K661" t="n">
        <v>0</v>
      </c>
      <c r="L661" t="n">
        <v>0</v>
      </c>
      <c r="M661" t="n">
        <v>0</v>
      </c>
      <c r="N661" t="n">
        <v>0</v>
      </c>
      <c r="O661" t="n">
        <v>0</v>
      </c>
      <c r="P661" t="n">
        <v>0</v>
      </c>
      <c r="Q661" t="n">
        <v>0</v>
      </c>
      <c r="R661" s="2" t="inlineStr"/>
    </row>
    <row r="662" ht="15" customHeight="1">
      <c r="A662" t="inlineStr">
        <is>
          <t>A 10784-2021</t>
        </is>
      </c>
      <c r="B662" s="1" t="n">
        <v>44259</v>
      </c>
      <c r="C662" s="1" t="n">
        <v>45952</v>
      </c>
      <c r="D662" t="inlineStr">
        <is>
          <t>ÖREBRO LÄN</t>
        </is>
      </c>
      <c r="E662" t="inlineStr">
        <is>
          <t>LINDESBERG</t>
        </is>
      </c>
      <c r="G662" t="n">
        <v>1.7</v>
      </c>
      <c r="H662" t="n">
        <v>0</v>
      </c>
      <c r="I662" t="n">
        <v>0</v>
      </c>
      <c r="J662" t="n">
        <v>0</v>
      </c>
      <c r="K662" t="n">
        <v>0</v>
      </c>
      <c r="L662" t="n">
        <v>0</v>
      </c>
      <c r="M662" t="n">
        <v>0</v>
      </c>
      <c r="N662" t="n">
        <v>0</v>
      </c>
      <c r="O662" t="n">
        <v>0</v>
      </c>
      <c r="P662" t="n">
        <v>0</v>
      </c>
      <c r="Q662" t="n">
        <v>0</v>
      </c>
      <c r="R662" s="2" t="inlineStr"/>
    </row>
    <row r="663" ht="15" customHeight="1">
      <c r="A663" t="inlineStr">
        <is>
          <t>A 35870-2022</t>
        </is>
      </c>
      <c r="B663" s="1" t="n">
        <v>44802.44491898148</v>
      </c>
      <c r="C663" s="1" t="n">
        <v>45952</v>
      </c>
      <c r="D663" t="inlineStr">
        <is>
          <t>ÖREBRO LÄN</t>
        </is>
      </c>
      <c r="E663" t="inlineStr">
        <is>
          <t>NORA</t>
        </is>
      </c>
      <c r="F663" t="inlineStr">
        <is>
          <t>Sveaskog</t>
        </is>
      </c>
      <c r="G663" t="n">
        <v>1.3</v>
      </c>
      <c r="H663" t="n">
        <v>0</v>
      </c>
      <c r="I663" t="n">
        <v>0</v>
      </c>
      <c r="J663" t="n">
        <v>0</v>
      </c>
      <c r="K663" t="n">
        <v>0</v>
      </c>
      <c r="L663" t="n">
        <v>0</v>
      </c>
      <c r="M663" t="n">
        <v>0</v>
      </c>
      <c r="N663" t="n">
        <v>0</v>
      </c>
      <c r="O663" t="n">
        <v>0</v>
      </c>
      <c r="P663" t="n">
        <v>0</v>
      </c>
      <c r="Q663" t="n">
        <v>0</v>
      </c>
      <c r="R663" s="2" t="inlineStr"/>
    </row>
    <row r="664" ht="15" customHeight="1">
      <c r="A664" t="inlineStr">
        <is>
          <t>A 2110-2022</t>
        </is>
      </c>
      <c r="B664" s="1" t="n">
        <v>44577.84596064815</v>
      </c>
      <c r="C664" s="1" t="n">
        <v>45952</v>
      </c>
      <c r="D664" t="inlineStr">
        <is>
          <t>ÖREBRO LÄN</t>
        </is>
      </c>
      <c r="E664" t="inlineStr">
        <is>
          <t>LINDESBERG</t>
        </is>
      </c>
      <c r="G664" t="n">
        <v>4.4</v>
      </c>
      <c r="H664" t="n">
        <v>0</v>
      </c>
      <c r="I664" t="n">
        <v>0</v>
      </c>
      <c r="J664" t="n">
        <v>0</v>
      </c>
      <c r="K664" t="n">
        <v>0</v>
      </c>
      <c r="L664" t="n">
        <v>0</v>
      </c>
      <c r="M664" t="n">
        <v>0</v>
      </c>
      <c r="N664" t="n">
        <v>0</v>
      </c>
      <c r="O664" t="n">
        <v>0</v>
      </c>
      <c r="P664" t="n">
        <v>0</v>
      </c>
      <c r="Q664" t="n">
        <v>0</v>
      </c>
      <c r="R664" s="2" t="inlineStr"/>
    </row>
    <row r="665" ht="15" customHeight="1">
      <c r="A665" t="inlineStr">
        <is>
          <t>A 23022-2022</t>
        </is>
      </c>
      <c r="B665" s="1" t="n">
        <v>44719.37908564815</v>
      </c>
      <c r="C665" s="1" t="n">
        <v>45952</v>
      </c>
      <c r="D665" t="inlineStr">
        <is>
          <t>ÖREBRO LÄN</t>
        </is>
      </c>
      <c r="E665" t="inlineStr">
        <is>
          <t>HÄLLEFORS</t>
        </is>
      </c>
      <c r="G665" t="n">
        <v>0.4</v>
      </c>
      <c r="H665" t="n">
        <v>0</v>
      </c>
      <c r="I665" t="n">
        <v>0</v>
      </c>
      <c r="J665" t="n">
        <v>0</v>
      </c>
      <c r="K665" t="n">
        <v>0</v>
      </c>
      <c r="L665" t="n">
        <v>0</v>
      </c>
      <c r="M665" t="n">
        <v>0</v>
      </c>
      <c r="N665" t="n">
        <v>0</v>
      </c>
      <c r="O665" t="n">
        <v>0</v>
      </c>
      <c r="P665" t="n">
        <v>0</v>
      </c>
      <c r="Q665" t="n">
        <v>0</v>
      </c>
      <c r="R665" s="2" t="inlineStr"/>
    </row>
    <row r="666" ht="15" customHeight="1">
      <c r="A666" t="inlineStr">
        <is>
          <t>A 25548-2022</t>
        </is>
      </c>
      <c r="B666" s="1" t="n">
        <v>44732.61756944445</v>
      </c>
      <c r="C666" s="1" t="n">
        <v>45952</v>
      </c>
      <c r="D666" t="inlineStr">
        <is>
          <t>ÖREBRO LÄN</t>
        </is>
      </c>
      <c r="E666" t="inlineStr">
        <is>
          <t>KARLSKOGA</t>
        </is>
      </c>
      <c r="G666" t="n">
        <v>2.3</v>
      </c>
      <c r="H666" t="n">
        <v>0</v>
      </c>
      <c r="I666" t="n">
        <v>0</v>
      </c>
      <c r="J666" t="n">
        <v>0</v>
      </c>
      <c r="K666" t="n">
        <v>0</v>
      </c>
      <c r="L666" t="n">
        <v>0</v>
      </c>
      <c r="M666" t="n">
        <v>0</v>
      </c>
      <c r="N666" t="n">
        <v>0</v>
      </c>
      <c r="O666" t="n">
        <v>0</v>
      </c>
      <c r="P666" t="n">
        <v>0</v>
      </c>
      <c r="Q666" t="n">
        <v>0</v>
      </c>
      <c r="R666" s="2" t="inlineStr"/>
    </row>
    <row r="667" ht="15" customHeight="1">
      <c r="A667" t="inlineStr">
        <is>
          <t>A 62981-2021</t>
        </is>
      </c>
      <c r="B667" s="1" t="n">
        <v>44505.36354166667</v>
      </c>
      <c r="C667" s="1" t="n">
        <v>45952</v>
      </c>
      <c r="D667" t="inlineStr">
        <is>
          <t>ÖREBRO LÄN</t>
        </is>
      </c>
      <c r="E667" t="inlineStr">
        <is>
          <t>LINDESBERG</t>
        </is>
      </c>
      <c r="G667" t="n">
        <v>2.3</v>
      </c>
      <c r="H667" t="n">
        <v>0</v>
      </c>
      <c r="I667" t="n">
        <v>0</v>
      </c>
      <c r="J667" t="n">
        <v>0</v>
      </c>
      <c r="K667" t="n">
        <v>0</v>
      </c>
      <c r="L667" t="n">
        <v>0</v>
      </c>
      <c r="M667" t="n">
        <v>0</v>
      </c>
      <c r="N667" t="n">
        <v>0</v>
      </c>
      <c r="O667" t="n">
        <v>0</v>
      </c>
      <c r="P667" t="n">
        <v>0</v>
      </c>
      <c r="Q667" t="n">
        <v>0</v>
      </c>
      <c r="R667" s="2" t="inlineStr"/>
    </row>
    <row r="668" ht="15" customHeight="1">
      <c r="A668" t="inlineStr">
        <is>
          <t>A 1320-2022</t>
        </is>
      </c>
      <c r="B668" s="1" t="n">
        <v>44572</v>
      </c>
      <c r="C668" s="1" t="n">
        <v>45952</v>
      </c>
      <c r="D668" t="inlineStr">
        <is>
          <t>ÖREBRO LÄN</t>
        </is>
      </c>
      <c r="E668" t="inlineStr">
        <is>
          <t>LJUSNARSBERG</t>
        </is>
      </c>
      <c r="G668" t="n">
        <v>1.6</v>
      </c>
      <c r="H668" t="n">
        <v>0</v>
      </c>
      <c r="I668" t="n">
        <v>0</v>
      </c>
      <c r="J668" t="n">
        <v>0</v>
      </c>
      <c r="K668" t="n">
        <v>0</v>
      </c>
      <c r="L668" t="n">
        <v>0</v>
      </c>
      <c r="M668" t="n">
        <v>0</v>
      </c>
      <c r="N668" t="n">
        <v>0</v>
      </c>
      <c r="O668" t="n">
        <v>0</v>
      </c>
      <c r="P668" t="n">
        <v>0</v>
      </c>
      <c r="Q668" t="n">
        <v>0</v>
      </c>
      <c r="R668" s="2" t="inlineStr"/>
    </row>
    <row r="669" ht="15" customHeight="1">
      <c r="A669" t="inlineStr">
        <is>
          <t>A 16424-2022</t>
        </is>
      </c>
      <c r="B669" s="1" t="n">
        <v>44671</v>
      </c>
      <c r="C669" s="1" t="n">
        <v>45952</v>
      </c>
      <c r="D669" t="inlineStr">
        <is>
          <t>ÖREBRO LÄN</t>
        </is>
      </c>
      <c r="E669" t="inlineStr">
        <is>
          <t>LINDESBERG</t>
        </is>
      </c>
      <c r="G669" t="n">
        <v>5</v>
      </c>
      <c r="H669" t="n">
        <v>0</v>
      </c>
      <c r="I669" t="n">
        <v>0</v>
      </c>
      <c r="J669" t="n">
        <v>0</v>
      </c>
      <c r="K669" t="n">
        <v>0</v>
      </c>
      <c r="L669" t="n">
        <v>0</v>
      </c>
      <c r="M669" t="n">
        <v>0</v>
      </c>
      <c r="N669" t="n">
        <v>0</v>
      </c>
      <c r="O669" t="n">
        <v>0</v>
      </c>
      <c r="P669" t="n">
        <v>0</v>
      </c>
      <c r="Q669" t="n">
        <v>0</v>
      </c>
      <c r="R669" s="2" t="inlineStr"/>
    </row>
    <row r="670" ht="15" customHeight="1">
      <c r="A670" t="inlineStr">
        <is>
          <t>A 21343-2022</t>
        </is>
      </c>
      <c r="B670" s="1" t="n">
        <v>44705.64063657408</v>
      </c>
      <c r="C670" s="1" t="n">
        <v>45952</v>
      </c>
      <c r="D670" t="inlineStr">
        <is>
          <t>ÖREBRO LÄN</t>
        </is>
      </c>
      <c r="E670" t="inlineStr">
        <is>
          <t>HALLSBERG</t>
        </is>
      </c>
      <c r="G670" t="n">
        <v>3.4</v>
      </c>
      <c r="H670" t="n">
        <v>0</v>
      </c>
      <c r="I670" t="n">
        <v>0</v>
      </c>
      <c r="J670" t="n">
        <v>0</v>
      </c>
      <c r="K670" t="n">
        <v>0</v>
      </c>
      <c r="L670" t="n">
        <v>0</v>
      </c>
      <c r="M670" t="n">
        <v>0</v>
      </c>
      <c r="N670" t="n">
        <v>0</v>
      </c>
      <c r="O670" t="n">
        <v>0</v>
      </c>
      <c r="P670" t="n">
        <v>0</v>
      </c>
      <c r="Q670" t="n">
        <v>0</v>
      </c>
      <c r="R670" s="2" t="inlineStr"/>
    </row>
    <row r="671" ht="15" customHeight="1">
      <c r="A671" t="inlineStr">
        <is>
          <t>A 57956-2021</t>
        </is>
      </c>
      <c r="B671" s="1" t="n">
        <v>44484</v>
      </c>
      <c r="C671" s="1" t="n">
        <v>45952</v>
      </c>
      <c r="D671" t="inlineStr">
        <is>
          <t>ÖREBRO LÄN</t>
        </is>
      </c>
      <c r="E671" t="inlineStr">
        <is>
          <t>LAXÅ</t>
        </is>
      </c>
      <c r="G671" t="n">
        <v>1.5</v>
      </c>
      <c r="H671" t="n">
        <v>0</v>
      </c>
      <c r="I671" t="n">
        <v>0</v>
      </c>
      <c r="J671" t="n">
        <v>0</v>
      </c>
      <c r="K671" t="n">
        <v>0</v>
      </c>
      <c r="L671" t="n">
        <v>0</v>
      </c>
      <c r="M671" t="n">
        <v>0</v>
      </c>
      <c r="N671" t="n">
        <v>0</v>
      </c>
      <c r="O671" t="n">
        <v>0</v>
      </c>
      <c r="P671" t="n">
        <v>0</v>
      </c>
      <c r="Q671" t="n">
        <v>0</v>
      </c>
      <c r="R671" s="2" t="inlineStr"/>
    </row>
    <row r="672" ht="15" customHeight="1">
      <c r="A672" t="inlineStr">
        <is>
          <t>A 72713-2021</t>
        </is>
      </c>
      <c r="B672" s="1" t="n">
        <v>44546.67978009259</v>
      </c>
      <c r="C672" s="1" t="n">
        <v>45952</v>
      </c>
      <c r="D672" t="inlineStr">
        <is>
          <t>ÖREBRO LÄN</t>
        </is>
      </c>
      <c r="E672" t="inlineStr">
        <is>
          <t>LINDESBERG</t>
        </is>
      </c>
      <c r="G672" t="n">
        <v>0.3</v>
      </c>
      <c r="H672" t="n">
        <v>0</v>
      </c>
      <c r="I672" t="n">
        <v>0</v>
      </c>
      <c r="J672" t="n">
        <v>0</v>
      </c>
      <c r="K672" t="n">
        <v>0</v>
      </c>
      <c r="L672" t="n">
        <v>0</v>
      </c>
      <c r="M672" t="n">
        <v>0</v>
      </c>
      <c r="N672" t="n">
        <v>0</v>
      </c>
      <c r="O672" t="n">
        <v>0</v>
      </c>
      <c r="P672" t="n">
        <v>0</v>
      </c>
      <c r="Q672" t="n">
        <v>0</v>
      </c>
      <c r="R672" s="2" t="inlineStr"/>
    </row>
    <row r="673" ht="15" customHeight="1">
      <c r="A673" t="inlineStr">
        <is>
          <t>A 51402-2022</t>
        </is>
      </c>
      <c r="B673" s="1" t="n">
        <v>44866</v>
      </c>
      <c r="C673" s="1" t="n">
        <v>45952</v>
      </c>
      <c r="D673" t="inlineStr">
        <is>
          <t>ÖREBRO LÄN</t>
        </is>
      </c>
      <c r="E673" t="inlineStr">
        <is>
          <t>ASKERSUND</t>
        </is>
      </c>
      <c r="G673" t="n">
        <v>1.5</v>
      </c>
      <c r="H673" t="n">
        <v>0</v>
      </c>
      <c r="I673" t="n">
        <v>0</v>
      </c>
      <c r="J673" t="n">
        <v>0</v>
      </c>
      <c r="K673" t="n">
        <v>0</v>
      </c>
      <c r="L673" t="n">
        <v>0</v>
      </c>
      <c r="M673" t="n">
        <v>0</v>
      </c>
      <c r="N673" t="n">
        <v>0</v>
      </c>
      <c r="O673" t="n">
        <v>0</v>
      </c>
      <c r="P673" t="n">
        <v>0</v>
      </c>
      <c r="Q673" t="n">
        <v>0</v>
      </c>
      <c r="R673" s="2" t="inlineStr"/>
    </row>
    <row r="674" ht="15" customHeight="1">
      <c r="A674" t="inlineStr">
        <is>
          <t>A 13545-2021</t>
        </is>
      </c>
      <c r="B674" s="1" t="n">
        <v>44273</v>
      </c>
      <c r="C674" s="1" t="n">
        <v>45952</v>
      </c>
      <c r="D674" t="inlineStr">
        <is>
          <t>ÖREBRO LÄN</t>
        </is>
      </c>
      <c r="E674" t="inlineStr">
        <is>
          <t>LINDESBERG</t>
        </is>
      </c>
      <c r="G674" t="n">
        <v>5.9</v>
      </c>
      <c r="H674" t="n">
        <v>0</v>
      </c>
      <c r="I674" t="n">
        <v>0</v>
      </c>
      <c r="J674" t="n">
        <v>0</v>
      </c>
      <c r="K674" t="n">
        <v>0</v>
      </c>
      <c r="L674" t="n">
        <v>0</v>
      </c>
      <c r="M674" t="n">
        <v>0</v>
      </c>
      <c r="N674" t="n">
        <v>0</v>
      </c>
      <c r="O674" t="n">
        <v>0</v>
      </c>
      <c r="P674" t="n">
        <v>0</v>
      </c>
      <c r="Q674" t="n">
        <v>0</v>
      </c>
      <c r="R674" s="2" t="inlineStr"/>
    </row>
    <row r="675" ht="15" customHeight="1">
      <c r="A675" t="inlineStr">
        <is>
          <t>A 33058-2021</t>
        </is>
      </c>
      <c r="B675" s="1" t="n">
        <v>44375</v>
      </c>
      <c r="C675" s="1" t="n">
        <v>45952</v>
      </c>
      <c r="D675" t="inlineStr">
        <is>
          <t>ÖREBRO LÄN</t>
        </is>
      </c>
      <c r="E675" t="inlineStr">
        <is>
          <t>LINDESBERG</t>
        </is>
      </c>
      <c r="G675" t="n">
        <v>1.8</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45952</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36794-2022</t>
        </is>
      </c>
      <c r="B677" s="1" t="n">
        <v>44805</v>
      </c>
      <c r="C677" s="1" t="n">
        <v>45952</v>
      </c>
      <c r="D677" t="inlineStr">
        <is>
          <t>ÖREBRO LÄN</t>
        </is>
      </c>
      <c r="E677" t="inlineStr">
        <is>
          <t>ÖREBRO</t>
        </is>
      </c>
      <c r="G677" t="n">
        <v>0.6</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45952</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45952</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26052-2022</t>
        </is>
      </c>
      <c r="B680" s="1" t="n">
        <v>44734</v>
      </c>
      <c r="C680" s="1" t="n">
        <v>45952</v>
      </c>
      <c r="D680" t="inlineStr">
        <is>
          <t>ÖREBRO LÄN</t>
        </is>
      </c>
      <c r="E680" t="inlineStr">
        <is>
          <t>LEKEBERG</t>
        </is>
      </c>
      <c r="G680" t="n">
        <v>0.5</v>
      </c>
      <c r="H680" t="n">
        <v>0</v>
      </c>
      <c r="I680" t="n">
        <v>0</v>
      </c>
      <c r="J680" t="n">
        <v>0</v>
      </c>
      <c r="K680" t="n">
        <v>0</v>
      </c>
      <c r="L680" t="n">
        <v>0</v>
      </c>
      <c r="M680" t="n">
        <v>0</v>
      </c>
      <c r="N680" t="n">
        <v>0</v>
      </c>
      <c r="O680" t="n">
        <v>0</v>
      </c>
      <c r="P680" t="n">
        <v>0</v>
      </c>
      <c r="Q680" t="n">
        <v>0</v>
      </c>
      <c r="R680" s="2" t="inlineStr"/>
    </row>
    <row r="681" ht="15" customHeight="1">
      <c r="A681" t="inlineStr">
        <is>
          <t>A 38539-2022</t>
        </is>
      </c>
      <c r="B681" s="1" t="n">
        <v>44813</v>
      </c>
      <c r="C681" s="1" t="n">
        <v>45952</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42862-2022</t>
        </is>
      </c>
      <c r="B682" s="1" t="n">
        <v>44832.73575231482</v>
      </c>
      <c r="C682" s="1" t="n">
        <v>45952</v>
      </c>
      <c r="D682" t="inlineStr">
        <is>
          <t>ÖREBRO LÄN</t>
        </is>
      </c>
      <c r="E682" t="inlineStr">
        <is>
          <t>HÄLLEFORS</t>
        </is>
      </c>
      <c r="G682" t="n">
        <v>0.7</v>
      </c>
      <c r="H682" t="n">
        <v>0</v>
      </c>
      <c r="I682" t="n">
        <v>0</v>
      </c>
      <c r="J682" t="n">
        <v>0</v>
      </c>
      <c r="K682" t="n">
        <v>0</v>
      </c>
      <c r="L682" t="n">
        <v>0</v>
      </c>
      <c r="M682" t="n">
        <v>0</v>
      </c>
      <c r="N682" t="n">
        <v>0</v>
      </c>
      <c r="O682" t="n">
        <v>0</v>
      </c>
      <c r="P682" t="n">
        <v>0</v>
      </c>
      <c r="Q682" t="n">
        <v>0</v>
      </c>
      <c r="R682" s="2" t="inlineStr"/>
    </row>
    <row r="683" ht="15" customHeight="1">
      <c r="A683" t="inlineStr">
        <is>
          <t>A 50003-2022</t>
        </is>
      </c>
      <c r="B683" s="1" t="n">
        <v>44865.4325462963</v>
      </c>
      <c r="C683" s="1" t="n">
        <v>45952</v>
      </c>
      <c r="D683" t="inlineStr">
        <is>
          <t>ÖREBRO LÄN</t>
        </is>
      </c>
      <c r="E683" t="inlineStr">
        <is>
          <t>NORA</t>
        </is>
      </c>
      <c r="F683" t="inlineStr">
        <is>
          <t>Sveaskog</t>
        </is>
      </c>
      <c r="G683" t="n">
        <v>3.2</v>
      </c>
      <c r="H683" t="n">
        <v>0</v>
      </c>
      <c r="I683" t="n">
        <v>0</v>
      </c>
      <c r="J683" t="n">
        <v>0</v>
      </c>
      <c r="K683" t="n">
        <v>0</v>
      </c>
      <c r="L683" t="n">
        <v>0</v>
      </c>
      <c r="M683" t="n">
        <v>0</v>
      </c>
      <c r="N683" t="n">
        <v>0</v>
      </c>
      <c r="O683" t="n">
        <v>0</v>
      </c>
      <c r="P683" t="n">
        <v>0</v>
      </c>
      <c r="Q683" t="n">
        <v>0</v>
      </c>
      <c r="R683" s="2" t="inlineStr"/>
    </row>
    <row r="684" ht="15" customHeight="1">
      <c r="A684" t="inlineStr">
        <is>
          <t>A 68829-2020</t>
        </is>
      </c>
      <c r="B684" s="1" t="n">
        <v>44187</v>
      </c>
      <c r="C684" s="1" t="n">
        <v>45952</v>
      </c>
      <c r="D684" t="inlineStr">
        <is>
          <t>ÖREBRO LÄN</t>
        </is>
      </c>
      <c r="E684" t="inlineStr">
        <is>
          <t>LINDESBERG</t>
        </is>
      </c>
      <c r="G684" t="n">
        <v>0.8</v>
      </c>
      <c r="H684" t="n">
        <v>0</v>
      </c>
      <c r="I684" t="n">
        <v>0</v>
      </c>
      <c r="J684" t="n">
        <v>0</v>
      </c>
      <c r="K684" t="n">
        <v>0</v>
      </c>
      <c r="L684" t="n">
        <v>0</v>
      </c>
      <c r="M684" t="n">
        <v>0</v>
      </c>
      <c r="N684" t="n">
        <v>0</v>
      </c>
      <c r="O684" t="n">
        <v>0</v>
      </c>
      <c r="P684" t="n">
        <v>0</v>
      </c>
      <c r="Q684" t="n">
        <v>0</v>
      </c>
      <c r="R684" s="2" t="inlineStr"/>
    </row>
    <row r="685" ht="15" customHeight="1">
      <c r="A685" t="inlineStr">
        <is>
          <t>A 68831-2020</t>
        </is>
      </c>
      <c r="B685" s="1" t="n">
        <v>44187</v>
      </c>
      <c r="C685" s="1" t="n">
        <v>45952</v>
      </c>
      <c r="D685" t="inlineStr">
        <is>
          <t>ÖREBRO LÄN</t>
        </is>
      </c>
      <c r="E685" t="inlineStr">
        <is>
          <t>ASKERSUND</t>
        </is>
      </c>
      <c r="G685" t="n">
        <v>3.8</v>
      </c>
      <c r="H685" t="n">
        <v>0</v>
      </c>
      <c r="I685" t="n">
        <v>0</v>
      </c>
      <c r="J685" t="n">
        <v>0</v>
      </c>
      <c r="K685" t="n">
        <v>0</v>
      </c>
      <c r="L685" t="n">
        <v>0</v>
      </c>
      <c r="M685" t="n">
        <v>0</v>
      </c>
      <c r="N685" t="n">
        <v>0</v>
      </c>
      <c r="O685" t="n">
        <v>0</v>
      </c>
      <c r="P685" t="n">
        <v>0</v>
      </c>
      <c r="Q685" t="n">
        <v>0</v>
      </c>
      <c r="R685" s="2" t="inlineStr"/>
    </row>
    <row r="686" ht="15" customHeight="1">
      <c r="A686" t="inlineStr">
        <is>
          <t>A 68356-2021</t>
        </is>
      </c>
      <c r="B686" s="1" t="n">
        <v>44528</v>
      </c>
      <c r="C686" s="1" t="n">
        <v>45952</v>
      </c>
      <c r="D686" t="inlineStr">
        <is>
          <t>ÖREBRO LÄN</t>
        </is>
      </c>
      <c r="E686" t="inlineStr">
        <is>
          <t>LAXÅ</t>
        </is>
      </c>
      <c r="F686" t="inlineStr">
        <is>
          <t>Sveaskog</t>
        </is>
      </c>
      <c r="G686" t="n">
        <v>9.800000000000001</v>
      </c>
      <c r="H686" t="n">
        <v>0</v>
      </c>
      <c r="I686" t="n">
        <v>0</v>
      </c>
      <c r="J686" t="n">
        <v>0</v>
      </c>
      <c r="K686" t="n">
        <v>0</v>
      </c>
      <c r="L686" t="n">
        <v>0</v>
      </c>
      <c r="M686" t="n">
        <v>0</v>
      </c>
      <c r="N686" t="n">
        <v>0</v>
      </c>
      <c r="O686" t="n">
        <v>0</v>
      </c>
      <c r="P686" t="n">
        <v>0</v>
      </c>
      <c r="Q686" t="n">
        <v>0</v>
      </c>
      <c r="R686" s="2" t="inlineStr"/>
    </row>
    <row r="687" ht="15" customHeight="1">
      <c r="A687" t="inlineStr">
        <is>
          <t>A 54303-2022</t>
        </is>
      </c>
      <c r="B687" s="1" t="n">
        <v>44882</v>
      </c>
      <c r="C687" s="1" t="n">
        <v>45952</v>
      </c>
      <c r="D687" t="inlineStr">
        <is>
          <t>ÖREBRO LÄN</t>
        </is>
      </c>
      <c r="E687" t="inlineStr">
        <is>
          <t>LAXÅ</t>
        </is>
      </c>
      <c r="F687" t="inlineStr">
        <is>
          <t>Sveaskog</t>
        </is>
      </c>
      <c r="G687" t="n">
        <v>5.7</v>
      </c>
      <c r="H687" t="n">
        <v>0</v>
      </c>
      <c r="I687" t="n">
        <v>0</v>
      </c>
      <c r="J687" t="n">
        <v>0</v>
      </c>
      <c r="K687" t="n">
        <v>0</v>
      </c>
      <c r="L687" t="n">
        <v>0</v>
      </c>
      <c r="M687" t="n">
        <v>0</v>
      </c>
      <c r="N687" t="n">
        <v>0</v>
      </c>
      <c r="O687" t="n">
        <v>0</v>
      </c>
      <c r="P687" t="n">
        <v>0</v>
      </c>
      <c r="Q687" t="n">
        <v>0</v>
      </c>
      <c r="R687" s="2" t="inlineStr"/>
    </row>
    <row r="688" ht="15" customHeight="1">
      <c r="A688" t="inlineStr">
        <is>
          <t>A 25720-2021</t>
        </is>
      </c>
      <c r="B688" s="1" t="n">
        <v>44343.61642361111</v>
      </c>
      <c r="C688" s="1" t="n">
        <v>45952</v>
      </c>
      <c r="D688" t="inlineStr">
        <is>
          <t>ÖREBRO LÄN</t>
        </is>
      </c>
      <c r="E688" t="inlineStr">
        <is>
          <t>ASKERSUND</t>
        </is>
      </c>
      <c r="G688" t="n">
        <v>0.2</v>
      </c>
      <c r="H688" t="n">
        <v>0</v>
      </c>
      <c r="I688" t="n">
        <v>0</v>
      </c>
      <c r="J688" t="n">
        <v>0</v>
      </c>
      <c r="K688" t="n">
        <v>0</v>
      </c>
      <c r="L688" t="n">
        <v>0</v>
      </c>
      <c r="M688" t="n">
        <v>0</v>
      </c>
      <c r="N688" t="n">
        <v>0</v>
      </c>
      <c r="O688" t="n">
        <v>0</v>
      </c>
      <c r="P688" t="n">
        <v>0</v>
      </c>
      <c r="Q688" t="n">
        <v>0</v>
      </c>
      <c r="R688" s="2" t="inlineStr"/>
    </row>
    <row r="689" ht="15" customHeight="1">
      <c r="A689" t="inlineStr">
        <is>
          <t>A 25729-2021</t>
        </is>
      </c>
      <c r="B689" s="1" t="n">
        <v>44343.62988425926</v>
      </c>
      <c r="C689" s="1" t="n">
        <v>45952</v>
      </c>
      <c r="D689" t="inlineStr">
        <is>
          <t>ÖREBRO LÄN</t>
        </is>
      </c>
      <c r="E689" t="inlineStr">
        <is>
          <t>ASKERSUND</t>
        </is>
      </c>
      <c r="G689" t="n">
        <v>0.3</v>
      </c>
      <c r="H689" t="n">
        <v>0</v>
      </c>
      <c r="I689" t="n">
        <v>0</v>
      </c>
      <c r="J689" t="n">
        <v>0</v>
      </c>
      <c r="K689" t="n">
        <v>0</v>
      </c>
      <c r="L689" t="n">
        <v>0</v>
      </c>
      <c r="M689" t="n">
        <v>0</v>
      </c>
      <c r="N689" t="n">
        <v>0</v>
      </c>
      <c r="O689" t="n">
        <v>0</v>
      </c>
      <c r="P689" t="n">
        <v>0</v>
      </c>
      <c r="Q689" t="n">
        <v>0</v>
      </c>
      <c r="R689" s="2" t="inlineStr"/>
    </row>
    <row r="690" ht="15" customHeight="1">
      <c r="A690" t="inlineStr">
        <is>
          <t>A 20072-2021</t>
        </is>
      </c>
      <c r="B690" s="1" t="n">
        <v>44314</v>
      </c>
      <c r="C690" s="1" t="n">
        <v>45952</v>
      </c>
      <c r="D690" t="inlineStr">
        <is>
          <t>ÖREBRO LÄN</t>
        </is>
      </c>
      <c r="E690" t="inlineStr">
        <is>
          <t>HÄLLEFORS</t>
        </is>
      </c>
      <c r="F690" t="inlineStr">
        <is>
          <t>Sveaskog</t>
        </is>
      </c>
      <c r="G690" t="n">
        <v>2.2</v>
      </c>
      <c r="H690" t="n">
        <v>0</v>
      </c>
      <c r="I690" t="n">
        <v>0</v>
      </c>
      <c r="J690" t="n">
        <v>0</v>
      </c>
      <c r="K690" t="n">
        <v>0</v>
      </c>
      <c r="L690" t="n">
        <v>0</v>
      </c>
      <c r="M690" t="n">
        <v>0</v>
      </c>
      <c r="N690" t="n">
        <v>0</v>
      </c>
      <c r="O690" t="n">
        <v>0</v>
      </c>
      <c r="P690" t="n">
        <v>0</v>
      </c>
      <c r="Q690" t="n">
        <v>0</v>
      </c>
      <c r="R690" s="2" t="inlineStr"/>
    </row>
    <row r="691" ht="15" customHeight="1">
      <c r="A691" t="inlineStr">
        <is>
          <t>A 15571-2021</t>
        </is>
      </c>
      <c r="B691" s="1" t="n">
        <v>44285</v>
      </c>
      <c r="C691" s="1" t="n">
        <v>45952</v>
      </c>
      <c r="D691" t="inlineStr">
        <is>
          <t>ÖREBRO LÄN</t>
        </is>
      </c>
      <c r="E691" t="inlineStr">
        <is>
          <t>ÖREBRO</t>
        </is>
      </c>
      <c r="G691" t="n">
        <v>0.6</v>
      </c>
      <c r="H691" t="n">
        <v>0</v>
      </c>
      <c r="I691" t="n">
        <v>0</v>
      </c>
      <c r="J691" t="n">
        <v>0</v>
      </c>
      <c r="K691" t="n">
        <v>0</v>
      </c>
      <c r="L691" t="n">
        <v>0</v>
      </c>
      <c r="M691" t="n">
        <v>0</v>
      </c>
      <c r="N691" t="n">
        <v>0</v>
      </c>
      <c r="O691" t="n">
        <v>0</v>
      </c>
      <c r="P691" t="n">
        <v>0</v>
      </c>
      <c r="Q691" t="n">
        <v>0</v>
      </c>
      <c r="R691" s="2" t="inlineStr"/>
    </row>
    <row r="692" ht="15" customHeight="1">
      <c r="A692" t="inlineStr">
        <is>
          <t>A 1592-2021</t>
        </is>
      </c>
      <c r="B692" s="1" t="n">
        <v>44209</v>
      </c>
      <c r="C692" s="1" t="n">
        <v>45952</v>
      </c>
      <c r="D692" t="inlineStr">
        <is>
          <t>ÖREBRO LÄN</t>
        </is>
      </c>
      <c r="E692" t="inlineStr">
        <is>
          <t>LEKEBERG</t>
        </is>
      </c>
      <c r="G692" t="n">
        <v>1</v>
      </c>
      <c r="H692" t="n">
        <v>0</v>
      </c>
      <c r="I692" t="n">
        <v>0</v>
      </c>
      <c r="J692" t="n">
        <v>0</v>
      </c>
      <c r="K692" t="n">
        <v>0</v>
      </c>
      <c r="L692" t="n">
        <v>0</v>
      </c>
      <c r="M692" t="n">
        <v>0</v>
      </c>
      <c r="N692" t="n">
        <v>0</v>
      </c>
      <c r="O692" t="n">
        <v>0</v>
      </c>
      <c r="P692" t="n">
        <v>0</v>
      </c>
      <c r="Q692" t="n">
        <v>0</v>
      </c>
      <c r="R692" s="2" t="inlineStr"/>
    </row>
    <row r="693" ht="15" customHeight="1">
      <c r="A693" t="inlineStr">
        <is>
          <t>A 1618-2021</t>
        </is>
      </c>
      <c r="B693" s="1" t="n">
        <v>44209</v>
      </c>
      <c r="C693" s="1" t="n">
        <v>45952</v>
      </c>
      <c r="D693" t="inlineStr">
        <is>
          <t>ÖREBRO LÄN</t>
        </is>
      </c>
      <c r="E693" t="inlineStr">
        <is>
          <t>HALLSBERG</t>
        </is>
      </c>
      <c r="G693" t="n">
        <v>1.9</v>
      </c>
      <c r="H693" t="n">
        <v>0</v>
      </c>
      <c r="I693" t="n">
        <v>0</v>
      </c>
      <c r="J693" t="n">
        <v>0</v>
      </c>
      <c r="K693" t="n">
        <v>0</v>
      </c>
      <c r="L693" t="n">
        <v>0</v>
      </c>
      <c r="M693" t="n">
        <v>0</v>
      </c>
      <c r="N693" t="n">
        <v>0</v>
      </c>
      <c r="O693" t="n">
        <v>0</v>
      </c>
      <c r="P693" t="n">
        <v>0</v>
      </c>
      <c r="Q693" t="n">
        <v>0</v>
      </c>
      <c r="R693" s="2" t="inlineStr"/>
    </row>
    <row r="694" ht="15" customHeight="1">
      <c r="A694" t="inlineStr">
        <is>
          <t>A 22494-2021</t>
        </is>
      </c>
      <c r="B694" s="1" t="n">
        <v>44326</v>
      </c>
      <c r="C694" s="1" t="n">
        <v>45952</v>
      </c>
      <c r="D694" t="inlineStr">
        <is>
          <t>ÖREBRO LÄN</t>
        </is>
      </c>
      <c r="E694" t="inlineStr">
        <is>
          <t>LINDESBERG</t>
        </is>
      </c>
      <c r="G694" t="n">
        <v>20.2</v>
      </c>
      <c r="H694" t="n">
        <v>0</v>
      </c>
      <c r="I694" t="n">
        <v>0</v>
      </c>
      <c r="J694" t="n">
        <v>0</v>
      </c>
      <c r="K694" t="n">
        <v>0</v>
      </c>
      <c r="L694" t="n">
        <v>0</v>
      </c>
      <c r="M694" t="n">
        <v>0</v>
      </c>
      <c r="N694" t="n">
        <v>0</v>
      </c>
      <c r="O694" t="n">
        <v>0</v>
      </c>
      <c r="P694" t="n">
        <v>0</v>
      </c>
      <c r="Q694" t="n">
        <v>0</v>
      </c>
      <c r="R694" s="2" t="inlineStr"/>
    </row>
    <row r="695" ht="15" customHeight="1">
      <c r="A695" t="inlineStr">
        <is>
          <t>A 4021-2021</t>
        </is>
      </c>
      <c r="B695" s="1" t="n">
        <v>44218</v>
      </c>
      <c r="C695" s="1" t="n">
        <v>45952</v>
      </c>
      <c r="D695" t="inlineStr">
        <is>
          <t>ÖREBRO LÄN</t>
        </is>
      </c>
      <c r="E695" t="inlineStr">
        <is>
          <t>ÖREBRO</t>
        </is>
      </c>
      <c r="G695" t="n">
        <v>5.3</v>
      </c>
      <c r="H695" t="n">
        <v>0</v>
      </c>
      <c r="I695" t="n">
        <v>0</v>
      </c>
      <c r="J695" t="n">
        <v>0</v>
      </c>
      <c r="K695" t="n">
        <v>0</v>
      </c>
      <c r="L695" t="n">
        <v>0</v>
      </c>
      <c r="M695" t="n">
        <v>0</v>
      </c>
      <c r="N695" t="n">
        <v>0</v>
      </c>
      <c r="O695" t="n">
        <v>0</v>
      </c>
      <c r="P695" t="n">
        <v>0</v>
      </c>
      <c r="Q695" t="n">
        <v>0</v>
      </c>
      <c r="R695" s="2" t="inlineStr"/>
    </row>
    <row r="696" ht="15" customHeight="1">
      <c r="A696" t="inlineStr">
        <is>
          <t>A 25660-2021</t>
        </is>
      </c>
      <c r="B696" s="1" t="n">
        <v>44343.5619212963</v>
      </c>
      <c r="C696" s="1" t="n">
        <v>45952</v>
      </c>
      <c r="D696" t="inlineStr">
        <is>
          <t>ÖREBRO LÄN</t>
        </is>
      </c>
      <c r="E696" t="inlineStr">
        <is>
          <t>ÖREBRO</t>
        </is>
      </c>
      <c r="G696" t="n">
        <v>1.8</v>
      </c>
      <c r="H696" t="n">
        <v>0</v>
      </c>
      <c r="I696" t="n">
        <v>0</v>
      </c>
      <c r="J696" t="n">
        <v>0</v>
      </c>
      <c r="K696" t="n">
        <v>0</v>
      </c>
      <c r="L696" t="n">
        <v>0</v>
      </c>
      <c r="M696" t="n">
        <v>0</v>
      </c>
      <c r="N696" t="n">
        <v>0</v>
      </c>
      <c r="O696" t="n">
        <v>0</v>
      </c>
      <c r="P696" t="n">
        <v>0</v>
      </c>
      <c r="Q696" t="n">
        <v>0</v>
      </c>
      <c r="R696" s="2" t="inlineStr"/>
    </row>
    <row r="697" ht="15" customHeight="1">
      <c r="A697" t="inlineStr">
        <is>
          <t>A 70199-2021</t>
        </is>
      </c>
      <c r="B697" s="1" t="n">
        <v>44534.80712962963</v>
      </c>
      <c r="C697" s="1" t="n">
        <v>45952</v>
      </c>
      <c r="D697" t="inlineStr">
        <is>
          <t>ÖREBRO LÄN</t>
        </is>
      </c>
      <c r="E697" t="inlineStr">
        <is>
          <t>ÖREBRO</t>
        </is>
      </c>
      <c r="G697" t="n">
        <v>4.1</v>
      </c>
      <c r="H697" t="n">
        <v>0</v>
      </c>
      <c r="I697" t="n">
        <v>0</v>
      </c>
      <c r="J697" t="n">
        <v>0</v>
      </c>
      <c r="K697" t="n">
        <v>0</v>
      </c>
      <c r="L697" t="n">
        <v>0</v>
      </c>
      <c r="M697" t="n">
        <v>0</v>
      </c>
      <c r="N697" t="n">
        <v>0</v>
      </c>
      <c r="O697" t="n">
        <v>0</v>
      </c>
      <c r="P697" t="n">
        <v>0</v>
      </c>
      <c r="Q697" t="n">
        <v>0</v>
      </c>
      <c r="R697" s="2" t="inlineStr"/>
    </row>
    <row r="698" ht="15" customHeight="1">
      <c r="A698" t="inlineStr">
        <is>
          <t>A 40351-2022</t>
        </is>
      </c>
      <c r="B698" s="1" t="n">
        <v>44823.37396990741</v>
      </c>
      <c r="C698" s="1" t="n">
        <v>45952</v>
      </c>
      <c r="D698" t="inlineStr">
        <is>
          <t>ÖREBRO LÄN</t>
        </is>
      </c>
      <c r="E698" t="inlineStr">
        <is>
          <t>LINDESBERG</t>
        </is>
      </c>
      <c r="G698" t="n">
        <v>0.3</v>
      </c>
      <c r="H698" t="n">
        <v>0</v>
      </c>
      <c r="I698" t="n">
        <v>0</v>
      </c>
      <c r="J698" t="n">
        <v>0</v>
      </c>
      <c r="K698" t="n">
        <v>0</v>
      </c>
      <c r="L698" t="n">
        <v>0</v>
      </c>
      <c r="M698" t="n">
        <v>0</v>
      </c>
      <c r="N698" t="n">
        <v>0</v>
      </c>
      <c r="O698" t="n">
        <v>0</v>
      </c>
      <c r="P698" t="n">
        <v>0</v>
      </c>
      <c r="Q698" t="n">
        <v>0</v>
      </c>
      <c r="R698" s="2" t="inlineStr"/>
    </row>
    <row r="699" ht="15" customHeight="1">
      <c r="A699" t="inlineStr">
        <is>
          <t>A 22163-2021</t>
        </is>
      </c>
      <c r="B699" s="1" t="n">
        <v>44325</v>
      </c>
      <c r="C699" s="1" t="n">
        <v>45952</v>
      </c>
      <c r="D699" t="inlineStr">
        <is>
          <t>ÖREBRO LÄN</t>
        </is>
      </c>
      <c r="E699" t="inlineStr">
        <is>
          <t>LINDESBERG</t>
        </is>
      </c>
      <c r="G699" t="n">
        <v>1.1</v>
      </c>
      <c r="H699" t="n">
        <v>0</v>
      </c>
      <c r="I699" t="n">
        <v>0</v>
      </c>
      <c r="J699" t="n">
        <v>0</v>
      </c>
      <c r="K699" t="n">
        <v>0</v>
      </c>
      <c r="L699" t="n">
        <v>0</v>
      </c>
      <c r="M699" t="n">
        <v>0</v>
      </c>
      <c r="N699" t="n">
        <v>0</v>
      </c>
      <c r="O699" t="n">
        <v>0</v>
      </c>
      <c r="P699" t="n">
        <v>0</v>
      </c>
      <c r="Q699" t="n">
        <v>0</v>
      </c>
      <c r="R699" s="2" t="inlineStr"/>
    </row>
    <row r="700" ht="15" customHeight="1">
      <c r="A700" t="inlineStr">
        <is>
          <t>A 10327-2021</t>
        </is>
      </c>
      <c r="B700" s="1" t="n">
        <v>44257</v>
      </c>
      <c r="C700" s="1" t="n">
        <v>45952</v>
      </c>
      <c r="D700" t="inlineStr">
        <is>
          <t>ÖREBRO LÄN</t>
        </is>
      </c>
      <c r="E700" t="inlineStr">
        <is>
          <t>KARLSKOGA</t>
        </is>
      </c>
      <c r="G700" t="n">
        <v>6.5</v>
      </c>
      <c r="H700" t="n">
        <v>0</v>
      </c>
      <c r="I700" t="n">
        <v>0</v>
      </c>
      <c r="J700" t="n">
        <v>0</v>
      </c>
      <c r="K700" t="n">
        <v>0</v>
      </c>
      <c r="L700" t="n">
        <v>0</v>
      </c>
      <c r="M700" t="n">
        <v>0</v>
      </c>
      <c r="N700" t="n">
        <v>0</v>
      </c>
      <c r="O700" t="n">
        <v>0</v>
      </c>
      <c r="P700" t="n">
        <v>0</v>
      </c>
      <c r="Q700" t="n">
        <v>0</v>
      </c>
      <c r="R700" s="2" t="inlineStr"/>
    </row>
    <row r="701" ht="15" customHeight="1">
      <c r="A701" t="inlineStr">
        <is>
          <t>A 59683-2020</t>
        </is>
      </c>
      <c r="B701" s="1" t="n">
        <v>44151</v>
      </c>
      <c r="C701" s="1" t="n">
        <v>45952</v>
      </c>
      <c r="D701" t="inlineStr">
        <is>
          <t>ÖREBRO LÄN</t>
        </is>
      </c>
      <c r="E701" t="inlineStr">
        <is>
          <t>LAXÅ</t>
        </is>
      </c>
      <c r="G701" t="n">
        <v>1.9</v>
      </c>
      <c r="H701" t="n">
        <v>0</v>
      </c>
      <c r="I701" t="n">
        <v>0</v>
      </c>
      <c r="J701" t="n">
        <v>0</v>
      </c>
      <c r="K701" t="n">
        <v>0</v>
      </c>
      <c r="L701" t="n">
        <v>0</v>
      </c>
      <c r="M701" t="n">
        <v>0</v>
      </c>
      <c r="N701" t="n">
        <v>0</v>
      </c>
      <c r="O701" t="n">
        <v>0</v>
      </c>
      <c r="P701" t="n">
        <v>0</v>
      </c>
      <c r="Q701" t="n">
        <v>0</v>
      </c>
      <c r="R701" s="2" t="inlineStr"/>
    </row>
    <row r="702" ht="15" customHeight="1">
      <c r="A702" t="inlineStr">
        <is>
          <t>A 7989-2021</t>
        </is>
      </c>
      <c r="B702" s="1" t="n">
        <v>44243</v>
      </c>
      <c r="C702" s="1" t="n">
        <v>45952</v>
      </c>
      <c r="D702" t="inlineStr">
        <is>
          <t>ÖREBRO LÄN</t>
        </is>
      </c>
      <c r="E702" t="inlineStr">
        <is>
          <t>KARLSKOGA</t>
        </is>
      </c>
      <c r="F702" t="inlineStr">
        <is>
          <t>Sveaskog</t>
        </is>
      </c>
      <c r="G702" t="n">
        <v>0.7</v>
      </c>
      <c r="H702" t="n">
        <v>0</v>
      </c>
      <c r="I702" t="n">
        <v>0</v>
      </c>
      <c r="J702" t="n">
        <v>0</v>
      </c>
      <c r="K702" t="n">
        <v>0</v>
      </c>
      <c r="L702" t="n">
        <v>0</v>
      </c>
      <c r="M702" t="n">
        <v>0</v>
      </c>
      <c r="N702" t="n">
        <v>0</v>
      </c>
      <c r="O702" t="n">
        <v>0</v>
      </c>
      <c r="P702" t="n">
        <v>0</v>
      </c>
      <c r="Q702" t="n">
        <v>0</v>
      </c>
      <c r="R702" s="2" t="inlineStr"/>
    </row>
    <row r="703" ht="15" customHeight="1">
      <c r="A703" t="inlineStr">
        <is>
          <t>A 28949-2021</t>
        </is>
      </c>
      <c r="B703" s="1" t="n">
        <v>44358</v>
      </c>
      <c r="C703" s="1" t="n">
        <v>45952</v>
      </c>
      <c r="D703" t="inlineStr">
        <is>
          <t>ÖREBRO LÄN</t>
        </is>
      </c>
      <c r="E703" t="inlineStr">
        <is>
          <t>ASKERSUND</t>
        </is>
      </c>
      <c r="G703" t="n">
        <v>0.7</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45952</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34480-2022</t>
        </is>
      </c>
      <c r="B705" s="1" t="n">
        <v>44792.65326388889</v>
      </c>
      <c r="C705" s="1" t="n">
        <v>45952</v>
      </c>
      <c r="D705" t="inlineStr">
        <is>
          <t>ÖREBRO LÄN</t>
        </is>
      </c>
      <c r="E705" t="inlineStr">
        <is>
          <t>HÄLLEFORS</t>
        </is>
      </c>
      <c r="G705" t="n">
        <v>0.5</v>
      </c>
      <c r="H705" t="n">
        <v>0</v>
      </c>
      <c r="I705" t="n">
        <v>0</v>
      </c>
      <c r="J705" t="n">
        <v>0</v>
      </c>
      <c r="K705" t="n">
        <v>0</v>
      </c>
      <c r="L705" t="n">
        <v>0</v>
      </c>
      <c r="M705" t="n">
        <v>0</v>
      </c>
      <c r="N705" t="n">
        <v>0</v>
      </c>
      <c r="O705" t="n">
        <v>0</v>
      </c>
      <c r="P705" t="n">
        <v>0</v>
      </c>
      <c r="Q705" t="n">
        <v>0</v>
      </c>
      <c r="R705" s="2" t="inlineStr"/>
    </row>
    <row r="706" ht="15" customHeight="1">
      <c r="A706" t="inlineStr">
        <is>
          <t>A 33785-2021</t>
        </is>
      </c>
      <c r="B706" s="1" t="n">
        <v>44378.55319444444</v>
      </c>
      <c r="C706" s="1" t="n">
        <v>45952</v>
      </c>
      <c r="D706" t="inlineStr">
        <is>
          <t>ÖREBRO LÄN</t>
        </is>
      </c>
      <c r="E706" t="inlineStr">
        <is>
          <t>LINDESBERG</t>
        </is>
      </c>
      <c r="F706" t="inlineStr">
        <is>
          <t>Sveaskog</t>
        </is>
      </c>
      <c r="G706" t="n">
        <v>3.2</v>
      </c>
      <c r="H706" t="n">
        <v>0</v>
      </c>
      <c r="I706" t="n">
        <v>0</v>
      </c>
      <c r="J706" t="n">
        <v>0</v>
      </c>
      <c r="K706" t="n">
        <v>0</v>
      </c>
      <c r="L706" t="n">
        <v>0</v>
      </c>
      <c r="M706" t="n">
        <v>0</v>
      </c>
      <c r="N706" t="n">
        <v>0</v>
      </c>
      <c r="O706" t="n">
        <v>0</v>
      </c>
      <c r="P706" t="n">
        <v>0</v>
      </c>
      <c r="Q706" t="n">
        <v>0</v>
      </c>
      <c r="R706" s="2" t="inlineStr"/>
    </row>
    <row r="707" ht="15" customHeight="1">
      <c r="A707" t="inlineStr">
        <is>
          <t>A 43262-2021</t>
        </is>
      </c>
      <c r="B707" s="1" t="n">
        <v>44432</v>
      </c>
      <c r="C707" s="1" t="n">
        <v>45952</v>
      </c>
      <c r="D707" t="inlineStr">
        <is>
          <t>ÖREBRO LÄN</t>
        </is>
      </c>
      <c r="E707" t="inlineStr">
        <is>
          <t>KUMLA</t>
        </is>
      </c>
      <c r="G707" t="n">
        <v>0.5</v>
      </c>
      <c r="H707" t="n">
        <v>0</v>
      </c>
      <c r="I707" t="n">
        <v>0</v>
      </c>
      <c r="J707" t="n">
        <v>0</v>
      </c>
      <c r="K707" t="n">
        <v>0</v>
      </c>
      <c r="L707" t="n">
        <v>0</v>
      </c>
      <c r="M707" t="n">
        <v>0</v>
      </c>
      <c r="N707" t="n">
        <v>0</v>
      </c>
      <c r="O707" t="n">
        <v>0</v>
      </c>
      <c r="P707" t="n">
        <v>0</v>
      </c>
      <c r="Q707" t="n">
        <v>0</v>
      </c>
      <c r="R707" s="2" t="inlineStr"/>
    </row>
    <row r="708" ht="15" customHeight="1">
      <c r="A708" t="inlineStr">
        <is>
          <t>A 42830-2021</t>
        </is>
      </c>
      <c r="B708" s="1" t="n">
        <v>44430</v>
      </c>
      <c r="C708" s="1" t="n">
        <v>45952</v>
      </c>
      <c r="D708" t="inlineStr">
        <is>
          <t>ÖREBRO LÄN</t>
        </is>
      </c>
      <c r="E708" t="inlineStr">
        <is>
          <t>ASKERSUND</t>
        </is>
      </c>
      <c r="G708" t="n">
        <v>6.3</v>
      </c>
      <c r="H708" t="n">
        <v>0</v>
      </c>
      <c r="I708" t="n">
        <v>0</v>
      </c>
      <c r="J708" t="n">
        <v>0</v>
      </c>
      <c r="K708" t="n">
        <v>0</v>
      </c>
      <c r="L708" t="n">
        <v>0</v>
      </c>
      <c r="M708" t="n">
        <v>0</v>
      </c>
      <c r="N708" t="n">
        <v>0</v>
      </c>
      <c r="O708" t="n">
        <v>0</v>
      </c>
      <c r="P708" t="n">
        <v>0</v>
      </c>
      <c r="Q708" t="n">
        <v>0</v>
      </c>
      <c r="R708" s="2" t="inlineStr"/>
    </row>
    <row r="709" ht="15" customHeight="1">
      <c r="A709" t="inlineStr">
        <is>
          <t>A 42899-2021</t>
        </is>
      </c>
      <c r="B709" s="1" t="n">
        <v>44431.34829861111</v>
      </c>
      <c r="C709" s="1" t="n">
        <v>45952</v>
      </c>
      <c r="D709" t="inlineStr">
        <is>
          <t>ÖREBRO LÄN</t>
        </is>
      </c>
      <c r="E709" t="inlineStr">
        <is>
          <t>NORA</t>
        </is>
      </c>
      <c r="F709" t="inlineStr">
        <is>
          <t>Sveaskog</t>
        </is>
      </c>
      <c r="G709" t="n">
        <v>1.1</v>
      </c>
      <c r="H709" t="n">
        <v>0</v>
      </c>
      <c r="I709" t="n">
        <v>0</v>
      </c>
      <c r="J709" t="n">
        <v>0</v>
      </c>
      <c r="K709" t="n">
        <v>0</v>
      </c>
      <c r="L709" t="n">
        <v>0</v>
      </c>
      <c r="M709" t="n">
        <v>0</v>
      </c>
      <c r="N709" t="n">
        <v>0</v>
      </c>
      <c r="O709" t="n">
        <v>0</v>
      </c>
      <c r="P709" t="n">
        <v>0</v>
      </c>
      <c r="Q709" t="n">
        <v>0</v>
      </c>
      <c r="R709" s="2" t="inlineStr"/>
    </row>
    <row r="710" ht="15" customHeight="1">
      <c r="A710" t="inlineStr">
        <is>
          <t>A 13660-2022</t>
        </is>
      </c>
      <c r="B710" s="1" t="n">
        <v>44648.66108796297</v>
      </c>
      <c r="C710" s="1" t="n">
        <v>45952</v>
      </c>
      <c r="D710" t="inlineStr">
        <is>
          <t>ÖREBRO LÄN</t>
        </is>
      </c>
      <c r="E710" t="inlineStr">
        <is>
          <t>HALLSBERG</t>
        </is>
      </c>
      <c r="F710" t="inlineStr">
        <is>
          <t>Kyrkan</t>
        </is>
      </c>
      <c r="G710" t="n">
        <v>0.5</v>
      </c>
      <c r="H710" t="n">
        <v>0</v>
      </c>
      <c r="I710" t="n">
        <v>0</v>
      </c>
      <c r="J710" t="n">
        <v>0</v>
      </c>
      <c r="K710" t="n">
        <v>0</v>
      </c>
      <c r="L710" t="n">
        <v>0</v>
      </c>
      <c r="M710" t="n">
        <v>0</v>
      </c>
      <c r="N710" t="n">
        <v>0</v>
      </c>
      <c r="O710" t="n">
        <v>0</v>
      </c>
      <c r="P710" t="n">
        <v>0</v>
      </c>
      <c r="Q710" t="n">
        <v>0</v>
      </c>
      <c r="R710" s="2" t="inlineStr"/>
    </row>
    <row r="711" ht="15" customHeight="1">
      <c r="A711" t="inlineStr">
        <is>
          <t>A 25059-2022</t>
        </is>
      </c>
      <c r="B711" s="1" t="n">
        <v>44729</v>
      </c>
      <c r="C711" s="1" t="n">
        <v>45952</v>
      </c>
      <c r="D711" t="inlineStr">
        <is>
          <t>ÖREBRO LÄN</t>
        </is>
      </c>
      <c r="E711" t="inlineStr">
        <is>
          <t>ASKERSUND</t>
        </is>
      </c>
      <c r="G711" t="n">
        <v>0.9</v>
      </c>
      <c r="H711" t="n">
        <v>0</v>
      </c>
      <c r="I711" t="n">
        <v>0</v>
      </c>
      <c r="J711" t="n">
        <v>0</v>
      </c>
      <c r="K711" t="n">
        <v>0</v>
      </c>
      <c r="L711" t="n">
        <v>0</v>
      </c>
      <c r="M711" t="n">
        <v>0</v>
      </c>
      <c r="N711" t="n">
        <v>0</v>
      </c>
      <c r="O711" t="n">
        <v>0</v>
      </c>
      <c r="P711" t="n">
        <v>0</v>
      </c>
      <c r="Q711" t="n">
        <v>0</v>
      </c>
      <c r="R711" s="2" t="inlineStr"/>
    </row>
    <row r="712" ht="15" customHeight="1">
      <c r="A712" t="inlineStr">
        <is>
          <t>A 33820-2021</t>
        </is>
      </c>
      <c r="B712" s="1" t="n">
        <v>44378</v>
      </c>
      <c r="C712" s="1" t="n">
        <v>45952</v>
      </c>
      <c r="D712" t="inlineStr">
        <is>
          <t>ÖREBRO LÄN</t>
        </is>
      </c>
      <c r="E712" t="inlineStr">
        <is>
          <t>LEKEBERG</t>
        </is>
      </c>
      <c r="G712" t="n">
        <v>1.5</v>
      </c>
      <c r="H712" t="n">
        <v>0</v>
      </c>
      <c r="I712" t="n">
        <v>0</v>
      </c>
      <c r="J712" t="n">
        <v>0</v>
      </c>
      <c r="K712" t="n">
        <v>0</v>
      </c>
      <c r="L712" t="n">
        <v>0</v>
      </c>
      <c r="M712" t="n">
        <v>0</v>
      </c>
      <c r="N712" t="n">
        <v>0</v>
      </c>
      <c r="O712" t="n">
        <v>0</v>
      </c>
      <c r="P712" t="n">
        <v>0</v>
      </c>
      <c r="Q712" t="n">
        <v>0</v>
      </c>
      <c r="R712" s="2" t="inlineStr"/>
    </row>
    <row r="713" ht="15" customHeight="1">
      <c r="A713" t="inlineStr">
        <is>
          <t>A 7123-2021</t>
        </is>
      </c>
      <c r="B713" s="1" t="n">
        <v>44238</v>
      </c>
      <c r="C713" s="1" t="n">
        <v>45952</v>
      </c>
      <c r="D713" t="inlineStr">
        <is>
          <t>ÖREBRO LÄN</t>
        </is>
      </c>
      <c r="E713" t="inlineStr">
        <is>
          <t>HÄLLEFORS</t>
        </is>
      </c>
      <c r="F713" t="inlineStr">
        <is>
          <t>Bergvik skog väst AB</t>
        </is>
      </c>
      <c r="G713" t="n">
        <v>1.1</v>
      </c>
      <c r="H713" t="n">
        <v>0</v>
      </c>
      <c r="I713" t="n">
        <v>0</v>
      </c>
      <c r="J713" t="n">
        <v>0</v>
      </c>
      <c r="K713" t="n">
        <v>0</v>
      </c>
      <c r="L713" t="n">
        <v>0</v>
      </c>
      <c r="M713" t="n">
        <v>0</v>
      </c>
      <c r="N713" t="n">
        <v>0</v>
      </c>
      <c r="O713" t="n">
        <v>0</v>
      </c>
      <c r="P713" t="n">
        <v>0</v>
      </c>
      <c r="Q713" t="n">
        <v>0</v>
      </c>
      <c r="R713" s="2" t="inlineStr"/>
    </row>
    <row r="714" ht="15" customHeight="1">
      <c r="A714" t="inlineStr">
        <is>
          <t>A 68090-2020</t>
        </is>
      </c>
      <c r="B714" s="1" t="n">
        <v>44183</v>
      </c>
      <c r="C714" s="1" t="n">
        <v>45952</v>
      </c>
      <c r="D714" t="inlineStr">
        <is>
          <t>ÖREBRO LÄN</t>
        </is>
      </c>
      <c r="E714" t="inlineStr">
        <is>
          <t>LINDESBERG</t>
        </is>
      </c>
      <c r="F714" t="inlineStr">
        <is>
          <t>Sveaskog</t>
        </is>
      </c>
      <c r="G714" t="n">
        <v>0.6</v>
      </c>
      <c r="H714" t="n">
        <v>0</v>
      </c>
      <c r="I714" t="n">
        <v>0</v>
      </c>
      <c r="J714" t="n">
        <v>0</v>
      </c>
      <c r="K714" t="n">
        <v>0</v>
      </c>
      <c r="L714" t="n">
        <v>0</v>
      </c>
      <c r="M714" t="n">
        <v>0</v>
      </c>
      <c r="N714" t="n">
        <v>0</v>
      </c>
      <c r="O714" t="n">
        <v>0</v>
      </c>
      <c r="P714" t="n">
        <v>0</v>
      </c>
      <c r="Q714" t="n">
        <v>0</v>
      </c>
      <c r="R714" s="2" t="inlineStr"/>
    </row>
    <row r="715" ht="15" customHeight="1">
      <c r="A715" t="inlineStr">
        <is>
          <t>A 26153-2021</t>
        </is>
      </c>
      <c r="B715" s="1" t="n">
        <v>44347</v>
      </c>
      <c r="C715" s="1" t="n">
        <v>45952</v>
      </c>
      <c r="D715" t="inlineStr">
        <is>
          <t>ÖREBRO LÄN</t>
        </is>
      </c>
      <c r="E715" t="inlineStr">
        <is>
          <t>ÖREBRO</t>
        </is>
      </c>
      <c r="G715" t="n">
        <v>1.5</v>
      </c>
      <c r="H715" t="n">
        <v>0</v>
      </c>
      <c r="I715" t="n">
        <v>0</v>
      </c>
      <c r="J715" t="n">
        <v>0</v>
      </c>
      <c r="K715" t="n">
        <v>0</v>
      </c>
      <c r="L715" t="n">
        <v>0</v>
      </c>
      <c r="M715" t="n">
        <v>0</v>
      </c>
      <c r="N715" t="n">
        <v>0</v>
      </c>
      <c r="O715" t="n">
        <v>0</v>
      </c>
      <c r="P715" t="n">
        <v>0</v>
      </c>
      <c r="Q715" t="n">
        <v>0</v>
      </c>
      <c r="R715" s="2" t="inlineStr"/>
    </row>
    <row r="716" ht="15" customHeight="1">
      <c r="A716" t="inlineStr">
        <is>
          <t>A 63149-2020</t>
        </is>
      </c>
      <c r="B716" s="1" t="n">
        <v>44162</v>
      </c>
      <c r="C716" s="1" t="n">
        <v>45952</v>
      </c>
      <c r="D716" t="inlineStr">
        <is>
          <t>ÖREBRO LÄN</t>
        </is>
      </c>
      <c r="E716" t="inlineStr">
        <is>
          <t>LINDESBERG</t>
        </is>
      </c>
      <c r="F716" t="inlineStr">
        <is>
          <t>Sveaskog</t>
        </is>
      </c>
      <c r="G716" t="n">
        <v>1</v>
      </c>
      <c r="H716" t="n">
        <v>0</v>
      </c>
      <c r="I716" t="n">
        <v>0</v>
      </c>
      <c r="J716" t="n">
        <v>0</v>
      </c>
      <c r="K716" t="n">
        <v>0</v>
      </c>
      <c r="L716" t="n">
        <v>0</v>
      </c>
      <c r="M716" t="n">
        <v>0</v>
      </c>
      <c r="N716" t="n">
        <v>0</v>
      </c>
      <c r="O716" t="n">
        <v>0</v>
      </c>
      <c r="P716" t="n">
        <v>0</v>
      </c>
      <c r="Q716" t="n">
        <v>0</v>
      </c>
      <c r="R716" s="2" t="inlineStr"/>
    </row>
    <row r="717" ht="15" customHeight="1">
      <c r="A717" t="inlineStr">
        <is>
          <t>A 68343-2021</t>
        </is>
      </c>
      <c r="B717" s="1" t="n">
        <v>44528.6599074074</v>
      </c>
      <c r="C717" s="1" t="n">
        <v>45952</v>
      </c>
      <c r="D717" t="inlineStr">
        <is>
          <t>ÖREBRO LÄN</t>
        </is>
      </c>
      <c r="E717" t="inlineStr">
        <is>
          <t>ASKERSUND</t>
        </is>
      </c>
      <c r="G717" t="n">
        <v>3</v>
      </c>
      <c r="H717" t="n">
        <v>0</v>
      </c>
      <c r="I717" t="n">
        <v>0</v>
      </c>
      <c r="J717" t="n">
        <v>0</v>
      </c>
      <c r="K717" t="n">
        <v>0</v>
      </c>
      <c r="L717" t="n">
        <v>0</v>
      </c>
      <c r="M717" t="n">
        <v>0</v>
      </c>
      <c r="N717" t="n">
        <v>0</v>
      </c>
      <c r="O717" t="n">
        <v>0</v>
      </c>
      <c r="P717" t="n">
        <v>0</v>
      </c>
      <c r="Q717" t="n">
        <v>0</v>
      </c>
      <c r="R717" s="2" t="inlineStr"/>
    </row>
    <row r="718" ht="15" customHeight="1">
      <c r="A718" t="inlineStr">
        <is>
          <t>A 66879-2021</t>
        </is>
      </c>
      <c r="B718" s="1" t="n">
        <v>44522</v>
      </c>
      <c r="C718" s="1" t="n">
        <v>45952</v>
      </c>
      <c r="D718" t="inlineStr">
        <is>
          <t>ÖREBRO LÄN</t>
        </is>
      </c>
      <c r="E718" t="inlineStr">
        <is>
          <t>ASKERSUND</t>
        </is>
      </c>
      <c r="G718" t="n">
        <v>4.2</v>
      </c>
      <c r="H718" t="n">
        <v>0</v>
      </c>
      <c r="I718" t="n">
        <v>0</v>
      </c>
      <c r="J718" t="n">
        <v>0</v>
      </c>
      <c r="K718" t="n">
        <v>0</v>
      </c>
      <c r="L718" t="n">
        <v>0</v>
      </c>
      <c r="M718" t="n">
        <v>0</v>
      </c>
      <c r="N718" t="n">
        <v>0</v>
      </c>
      <c r="O718" t="n">
        <v>0</v>
      </c>
      <c r="P718" t="n">
        <v>0</v>
      </c>
      <c r="Q718" t="n">
        <v>0</v>
      </c>
      <c r="R718" s="2" t="inlineStr"/>
    </row>
    <row r="719" ht="15" customHeight="1">
      <c r="A719" t="inlineStr">
        <is>
          <t>A 67060-2021</t>
        </is>
      </c>
      <c r="B719" s="1" t="n">
        <v>44522.87423611111</v>
      </c>
      <c r="C719" s="1" t="n">
        <v>45952</v>
      </c>
      <c r="D719" t="inlineStr">
        <is>
          <t>ÖREBRO LÄN</t>
        </is>
      </c>
      <c r="E719" t="inlineStr">
        <is>
          <t>LINDESBERG</t>
        </is>
      </c>
      <c r="G719" t="n">
        <v>6.3</v>
      </c>
      <c r="H719" t="n">
        <v>0</v>
      </c>
      <c r="I719" t="n">
        <v>0</v>
      </c>
      <c r="J719" t="n">
        <v>0</v>
      </c>
      <c r="K719" t="n">
        <v>0</v>
      </c>
      <c r="L719" t="n">
        <v>0</v>
      </c>
      <c r="M719" t="n">
        <v>0</v>
      </c>
      <c r="N719" t="n">
        <v>0</v>
      </c>
      <c r="O719" t="n">
        <v>0</v>
      </c>
      <c r="P719" t="n">
        <v>0</v>
      </c>
      <c r="Q719" t="n">
        <v>0</v>
      </c>
      <c r="R719" s="2" t="inlineStr"/>
    </row>
    <row r="720" ht="15" customHeight="1">
      <c r="A720" t="inlineStr">
        <is>
          <t>A 51429-2021</t>
        </is>
      </c>
      <c r="B720" s="1" t="n">
        <v>44461.92744212963</v>
      </c>
      <c r="C720" s="1" t="n">
        <v>45952</v>
      </c>
      <c r="D720" t="inlineStr">
        <is>
          <t>ÖREBRO LÄN</t>
        </is>
      </c>
      <c r="E720" t="inlineStr">
        <is>
          <t>ÖREBRO</t>
        </is>
      </c>
      <c r="G720" t="n">
        <v>0.7</v>
      </c>
      <c r="H720" t="n">
        <v>0</v>
      </c>
      <c r="I720" t="n">
        <v>0</v>
      </c>
      <c r="J720" t="n">
        <v>0</v>
      </c>
      <c r="K720" t="n">
        <v>0</v>
      </c>
      <c r="L720" t="n">
        <v>0</v>
      </c>
      <c r="M720" t="n">
        <v>0</v>
      </c>
      <c r="N720" t="n">
        <v>0</v>
      </c>
      <c r="O720" t="n">
        <v>0</v>
      </c>
      <c r="P720" t="n">
        <v>0</v>
      </c>
      <c r="Q720" t="n">
        <v>0</v>
      </c>
      <c r="R720" s="2" t="inlineStr"/>
    </row>
    <row r="721" ht="15" customHeight="1">
      <c r="A721" t="inlineStr">
        <is>
          <t>A 11926-2022</t>
        </is>
      </c>
      <c r="B721" s="1" t="n">
        <v>44635.51386574074</v>
      </c>
      <c r="C721" s="1" t="n">
        <v>45952</v>
      </c>
      <c r="D721" t="inlineStr">
        <is>
          <t>ÖREBRO LÄN</t>
        </is>
      </c>
      <c r="E721" t="inlineStr">
        <is>
          <t>LINDESBERG</t>
        </is>
      </c>
      <c r="G721" t="n">
        <v>2.7</v>
      </c>
      <c r="H721" t="n">
        <v>0</v>
      </c>
      <c r="I721" t="n">
        <v>0</v>
      </c>
      <c r="J721" t="n">
        <v>0</v>
      </c>
      <c r="K721" t="n">
        <v>0</v>
      </c>
      <c r="L721" t="n">
        <v>0</v>
      </c>
      <c r="M721" t="n">
        <v>0</v>
      </c>
      <c r="N721" t="n">
        <v>0</v>
      </c>
      <c r="O721" t="n">
        <v>0</v>
      </c>
      <c r="P721" t="n">
        <v>0</v>
      </c>
      <c r="Q721" t="n">
        <v>0</v>
      </c>
      <c r="R721" s="2" t="inlineStr"/>
    </row>
    <row r="722" ht="15" customHeight="1">
      <c r="A722" t="inlineStr">
        <is>
          <t>A 24818-2021</t>
        </is>
      </c>
      <c r="B722" s="1" t="n">
        <v>44340</v>
      </c>
      <c r="C722" s="1" t="n">
        <v>45952</v>
      </c>
      <c r="D722" t="inlineStr">
        <is>
          <t>ÖREBRO LÄN</t>
        </is>
      </c>
      <c r="E722" t="inlineStr">
        <is>
          <t>ÖREBRO</t>
        </is>
      </c>
      <c r="G722" t="n">
        <v>0.6</v>
      </c>
      <c r="H722" t="n">
        <v>0</v>
      </c>
      <c r="I722" t="n">
        <v>0</v>
      </c>
      <c r="J722" t="n">
        <v>0</v>
      </c>
      <c r="K722" t="n">
        <v>0</v>
      </c>
      <c r="L722" t="n">
        <v>0</v>
      </c>
      <c r="M722" t="n">
        <v>0</v>
      </c>
      <c r="N722" t="n">
        <v>0</v>
      </c>
      <c r="O722" t="n">
        <v>0</v>
      </c>
      <c r="P722" t="n">
        <v>0</v>
      </c>
      <c r="Q722" t="n">
        <v>0</v>
      </c>
      <c r="R722" s="2" t="inlineStr"/>
    </row>
    <row r="723" ht="15" customHeight="1">
      <c r="A723" t="inlineStr">
        <is>
          <t>A 54415-2020</t>
        </is>
      </c>
      <c r="B723" s="1" t="n">
        <v>44126</v>
      </c>
      <c r="C723" s="1" t="n">
        <v>45952</v>
      </c>
      <c r="D723" t="inlineStr">
        <is>
          <t>ÖREBRO LÄN</t>
        </is>
      </c>
      <c r="E723" t="inlineStr">
        <is>
          <t>LINDESBERG</t>
        </is>
      </c>
      <c r="G723" t="n">
        <v>0.7</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45952</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25116-2021</t>
        </is>
      </c>
      <c r="B725" s="1" t="n">
        <v>44341.71480324074</v>
      </c>
      <c r="C725" s="1" t="n">
        <v>45952</v>
      </c>
      <c r="D725" t="inlineStr">
        <is>
          <t>ÖREBRO LÄN</t>
        </is>
      </c>
      <c r="E725" t="inlineStr">
        <is>
          <t>KARLSKOGA</t>
        </is>
      </c>
      <c r="F725" t="inlineStr">
        <is>
          <t>Sveaskog</t>
        </is>
      </c>
      <c r="G725" t="n">
        <v>3.2</v>
      </c>
      <c r="H725" t="n">
        <v>0</v>
      </c>
      <c r="I725" t="n">
        <v>0</v>
      </c>
      <c r="J725" t="n">
        <v>0</v>
      </c>
      <c r="K725" t="n">
        <v>0</v>
      </c>
      <c r="L725" t="n">
        <v>0</v>
      </c>
      <c r="M725" t="n">
        <v>0</v>
      </c>
      <c r="N725" t="n">
        <v>0</v>
      </c>
      <c r="O725" t="n">
        <v>0</v>
      </c>
      <c r="P725" t="n">
        <v>0</v>
      </c>
      <c r="Q725" t="n">
        <v>0</v>
      </c>
      <c r="R725" s="2" t="inlineStr"/>
    </row>
    <row r="726" ht="15" customHeight="1">
      <c r="A726" t="inlineStr">
        <is>
          <t>A 54137-2021</t>
        </is>
      </c>
      <c r="B726" s="1" t="n">
        <v>44470</v>
      </c>
      <c r="C726" s="1" t="n">
        <v>45952</v>
      </c>
      <c r="D726" t="inlineStr">
        <is>
          <t>ÖREBRO LÄN</t>
        </is>
      </c>
      <c r="E726" t="inlineStr">
        <is>
          <t>DEGERFORS</t>
        </is>
      </c>
      <c r="F726" t="inlineStr">
        <is>
          <t>Sveaskog</t>
        </is>
      </c>
      <c r="G726" t="n">
        <v>1.2</v>
      </c>
      <c r="H726" t="n">
        <v>0</v>
      </c>
      <c r="I726" t="n">
        <v>0</v>
      </c>
      <c r="J726" t="n">
        <v>0</v>
      </c>
      <c r="K726" t="n">
        <v>0</v>
      </c>
      <c r="L726" t="n">
        <v>0</v>
      </c>
      <c r="M726" t="n">
        <v>0</v>
      </c>
      <c r="N726" t="n">
        <v>0</v>
      </c>
      <c r="O726" t="n">
        <v>0</v>
      </c>
      <c r="P726" t="n">
        <v>0</v>
      </c>
      <c r="Q726" t="n">
        <v>0</v>
      </c>
      <c r="R726" s="2" t="inlineStr"/>
    </row>
    <row r="727" ht="15" customHeight="1">
      <c r="A727" t="inlineStr">
        <is>
          <t>A 19371-2022</t>
        </is>
      </c>
      <c r="B727" s="1" t="n">
        <v>44692</v>
      </c>
      <c r="C727" s="1" t="n">
        <v>45952</v>
      </c>
      <c r="D727" t="inlineStr">
        <is>
          <t>ÖREBRO LÄN</t>
        </is>
      </c>
      <c r="E727" t="inlineStr">
        <is>
          <t>DEGERFORS</t>
        </is>
      </c>
      <c r="G727" t="n">
        <v>0.8</v>
      </c>
      <c r="H727" t="n">
        <v>0</v>
      </c>
      <c r="I727" t="n">
        <v>0</v>
      </c>
      <c r="J727" t="n">
        <v>0</v>
      </c>
      <c r="K727" t="n">
        <v>0</v>
      </c>
      <c r="L727" t="n">
        <v>0</v>
      </c>
      <c r="M727" t="n">
        <v>0</v>
      </c>
      <c r="N727" t="n">
        <v>0</v>
      </c>
      <c r="O727" t="n">
        <v>0</v>
      </c>
      <c r="P727" t="n">
        <v>0</v>
      </c>
      <c r="Q727" t="n">
        <v>0</v>
      </c>
      <c r="R727" s="2" t="inlineStr"/>
    </row>
    <row r="728" ht="15" customHeight="1">
      <c r="A728" t="inlineStr">
        <is>
          <t>A 59606-2021</t>
        </is>
      </c>
      <c r="B728" s="1" t="n">
        <v>44491</v>
      </c>
      <c r="C728" s="1" t="n">
        <v>45952</v>
      </c>
      <c r="D728" t="inlineStr">
        <is>
          <t>ÖREBRO LÄN</t>
        </is>
      </c>
      <c r="E728" t="inlineStr">
        <is>
          <t>NORA</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25734-2021</t>
        </is>
      </c>
      <c r="B729" s="1" t="n">
        <v>44343.63606481482</v>
      </c>
      <c r="C729" s="1" t="n">
        <v>45952</v>
      </c>
      <c r="D729" t="inlineStr">
        <is>
          <t>ÖREBRO LÄN</t>
        </is>
      </c>
      <c r="E729" t="inlineStr">
        <is>
          <t>HALLSBERG</t>
        </is>
      </c>
      <c r="F729" t="inlineStr">
        <is>
          <t>Sveaskog</t>
        </is>
      </c>
      <c r="G729" t="n">
        <v>2.8</v>
      </c>
      <c r="H729" t="n">
        <v>0</v>
      </c>
      <c r="I729" t="n">
        <v>0</v>
      </c>
      <c r="J729" t="n">
        <v>0</v>
      </c>
      <c r="K729" t="n">
        <v>0</v>
      </c>
      <c r="L729" t="n">
        <v>0</v>
      </c>
      <c r="M729" t="n">
        <v>0</v>
      </c>
      <c r="N729" t="n">
        <v>0</v>
      </c>
      <c r="O729" t="n">
        <v>0</v>
      </c>
      <c r="P729" t="n">
        <v>0</v>
      </c>
      <c r="Q729" t="n">
        <v>0</v>
      </c>
      <c r="R729" s="2" t="inlineStr"/>
    </row>
    <row r="730" ht="15" customHeight="1">
      <c r="A730" t="inlineStr">
        <is>
          <t>A 27175-2021</t>
        </is>
      </c>
      <c r="B730" s="1" t="n">
        <v>44350</v>
      </c>
      <c r="C730" s="1" t="n">
        <v>45952</v>
      </c>
      <c r="D730" t="inlineStr">
        <is>
          <t>ÖREBRO LÄN</t>
        </is>
      </c>
      <c r="E730" t="inlineStr">
        <is>
          <t>HÄLLEFORS</t>
        </is>
      </c>
      <c r="F730" t="inlineStr">
        <is>
          <t>Sveaskog</t>
        </is>
      </c>
      <c r="G730" t="n">
        <v>5.3</v>
      </c>
      <c r="H730" t="n">
        <v>0</v>
      </c>
      <c r="I730" t="n">
        <v>0</v>
      </c>
      <c r="J730" t="n">
        <v>0</v>
      </c>
      <c r="K730" t="n">
        <v>0</v>
      </c>
      <c r="L730" t="n">
        <v>0</v>
      </c>
      <c r="M730" t="n">
        <v>0</v>
      </c>
      <c r="N730" t="n">
        <v>0</v>
      </c>
      <c r="O730" t="n">
        <v>0</v>
      </c>
      <c r="P730" t="n">
        <v>0</v>
      </c>
      <c r="Q730" t="n">
        <v>0</v>
      </c>
      <c r="R730" s="2" t="inlineStr"/>
    </row>
    <row r="731" ht="15" customHeight="1">
      <c r="A731" t="inlineStr">
        <is>
          <t>A 50991-2021</t>
        </is>
      </c>
      <c r="B731" s="1" t="n">
        <v>44460.7434375</v>
      </c>
      <c r="C731" s="1" t="n">
        <v>45952</v>
      </c>
      <c r="D731" t="inlineStr">
        <is>
          <t>ÖREBRO LÄN</t>
        </is>
      </c>
      <c r="E731" t="inlineStr">
        <is>
          <t>KARLSKOGA</t>
        </is>
      </c>
      <c r="G731" t="n">
        <v>0.8</v>
      </c>
      <c r="H731" t="n">
        <v>0</v>
      </c>
      <c r="I731" t="n">
        <v>0</v>
      </c>
      <c r="J731" t="n">
        <v>0</v>
      </c>
      <c r="K731" t="n">
        <v>0</v>
      </c>
      <c r="L731" t="n">
        <v>0</v>
      </c>
      <c r="M731" t="n">
        <v>0</v>
      </c>
      <c r="N731" t="n">
        <v>0</v>
      </c>
      <c r="O731" t="n">
        <v>0</v>
      </c>
      <c r="P731" t="n">
        <v>0</v>
      </c>
      <c r="Q731" t="n">
        <v>0</v>
      </c>
      <c r="R731" s="2" t="inlineStr"/>
    </row>
    <row r="732" ht="15" customHeight="1">
      <c r="A732" t="inlineStr">
        <is>
          <t>A 32325-2022</t>
        </is>
      </c>
      <c r="B732" s="1" t="n">
        <v>44781</v>
      </c>
      <c r="C732" s="1" t="n">
        <v>45952</v>
      </c>
      <c r="D732" t="inlineStr">
        <is>
          <t>ÖREBRO LÄN</t>
        </is>
      </c>
      <c r="E732" t="inlineStr">
        <is>
          <t>ASKERSUND</t>
        </is>
      </c>
      <c r="G732" t="n">
        <v>2.2</v>
      </c>
      <c r="H732" t="n">
        <v>0</v>
      </c>
      <c r="I732" t="n">
        <v>0</v>
      </c>
      <c r="J732" t="n">
        <v>0</v>
      </c>
      <c r="K732" t="n">
        <v>0</v>
      </c>
      <c r="L732" t="n">
        <v>0</v>
      </c>
      <c r="M732" t="n">
        <v>0</v>
      </c>
      <c r="N732" t="n">
        <v>0</v>
      </c>
      <c r="O732" t="n">
        <v>0</v>
      </c>
      <c r="P732" t="n">
        <v>0</v>
      </c>
      <c r="Q732" t="n">
        <v>0</v>
      </c>
      <c r="R732" s="2" t="inlineStr"/>
    </row>
    <row r="733" ht="15" customHeight="1">
      <c r="A733" t="inlineStr">
        <is>
          <t>A 36080-2021</t>
        </is>
      </c>
      <c r="B733" s="1" t="n">
        <v>44389</v>
      </c>
      <c r="C733" s="1" t="n">
        <v>45952</v>
      </c>
      <c r="D733" t="inlineStr">
        <is>
          <t>ÖREBRO LÄN</t>
        </is>
      </c>
      <c r="E733" t="inlineStr">
        <is>
          <t>ASKERSUND</t>
        </is>
      </c>
      <c r="G733" t="n">
        <v>1.6</v>
      </c>
      <c r="H733" t="n">
        <v>0</v>
      </c>
      <c r="I733" t="n">
        <v>0</v>
      </c>
      <c r="J733" t="n">
        <v>0</v>
      </c>
      <c r="K733" t="n">
        <v>0</v>
      </c>
      <c r="L733" t="n">
        <v>0</v>
      </c>
      <c r="M733" t="n">
        <v>0</v>
      </c>
      <c r="N733" t="n">
        <v>0</v>
      </c>
      <c r="O733" t="n">
        <v>0</v>
      </c>
      <c r="P733" t="n">
        <v>0</v>
      </c>
      <c r="Q733" t="n">
        <v>0</v>
      </c>
      <c r="R733" s="2" t="inlineStr"/>
    </row>
    <row r="734" ht="15" customHeight="1">
      <c r="A734" t="inlineStr">
        <is>
          <t>A 37259-2022</t>
        </is>
      </c>
      <c r="B734" s="1" t="n">
        <v>44807.45756944444</v>
      </c>
      <c r="C734" s="1" t="n">
        <v>45952</v>
      </c>
      <c r="D734" t="inlineStr">
        <is>
          <t>ÖREBRO LÄN</t>
        </is>
      </c>
      <c r="E734" t="inlineStr">
        <is>
          <t>NORA</t>
        </is>
      </c>
      <c r="F734" t="inlineStr">
        <is>
          <t>Sveaskog</t>
        </is>
      </c>
      <c r="G734" t="n">
        <v>0.8</v>
      </c>
      <c r="H734" t="n">
        <v>0</v>
      </c>
      <c r="I734" t="n">
        <v>0</v>
      </c>
      <c r="J734" t="n">
        <v>0</v>
      </c>
      <c r="K734" t="n">
        <v>0</v>
      </c>
      <c r="L734" t="n">
        <v>0</v>
      </c>
      <c r="M734" t="n">
        <v>0</v>
      </c>
      <c r="N734" t="n">
        <v>0</v>
      </c>
      <c r="O734" t="n">
        <v>0</v>
      </c>
      <c r="P734" t="n">
        <v>0</v>
      </c>
      <c r="Q734" t="n">
        <v>0</v>
      </c>
      <c r="R734" s="2" t="inlineStr"/>
    </row>
    <row r="735" ht="15" customHeight="1">
      <c r="A735" t="inlineStr">
        <is>
          <t>A 55002-2020</t>
        </is>
      </c>
      <c r="B735" s="1" t="n">
        <v>44130</v>
      </c>
      <c r="C735" s="1" t="n">
        <v>45952</v>
      </c>
      <c r="D735" t="inlineStr">
        <is>
          <t>ÖREBRO LÄN</t>
        </is>
      </c>
      <c r="E735" t="inlineStr">
        <is>
          <t>LINDESBERG</t>
        </is>
      </c>
      <c r="G735" t="n">
        <v>0.9</v>
      </c>
      <c r="H735" t="n">
        <v>0</v>
      </c>
      <c r="I735" t="n">
        <v>0</v>
      </c>
      <c r="J735" t="n">
        <v>0</v>
      </c>
      <c r="K735" t="n">
        <v>0</v>
      </c>
      <c r="L735" t="n">
        <v>0</v>
      </c>
      <c r="M735" t="n">
        <v>0</v>
      </c>
      <c r="N735" t="n">
        <v>0</v>
      </c>
      <c r="O735" t="n">
        <v>0</v>
      </c>
      <c r="P735" t="n">
        <v>0</v>
      </c>
      <c r="Q735" t="n">
        <v>0</v>
      </c>
      <c r="R735" s="2" t="inlineStr"/>
    </row>
    <row r="736" ht="15" customHeight="1">
      <c r="A736" t="inlineStr">
        <is>
          <t>A 28741-2021</t>
        </is>
      </c>
      <c r="B736" s="1" t="n">
        <v>44357</v>
      </c>
      <c r="C736" s="1" t="n">
        <v>45952</v>
      </c>
      <c r="D736" t="inlineStr">
        <is>
          <t>ÖREBRO LÄN</t>
        </is>
      </c>
      <c r="E736" t="inlineStr">
        <is>
          <t>LINDESBERG</t>
        </is>
      </c>
      <c r="G736" t="n">
        <v>1.7</v>
      </c>
      <c r="H736" t="n">
        <v>0</v>
      </c>
      <c r="I736" t="n">
        <v>0</v>
      </c>
      <c r="J736" t="n">
        <v>0</v>
      </c>
      <c r="K736" t="n">
        <v>0</v>
      </c>
      <c r="L736" t="n">
        <v>0</v>
      </c>
      <c r="M736" t="n">
        <v>0</v>
      </c>
      <c r="N736" t="n">
        <v>0</v>
      </c>
      <c r="O736" t="n">
        <v>0</v>
      </c>
      <c r="P736" t="n">
        <v>0</v>
      </c>
      <c r="Q736" t="n">
        <v>0</v>
      </c>
      <c r="R736" s="2" t="inlineStr"/>
    </row>
    <row r="737" ht="15" customHeight="1">
      <c r="A737" t="inlineStr">
        <is>
          <t>A 37265-2022</t>
        </is>
      </c>
      <c r="B737" s="1" t="n">
        <v>44807.46988425926</v>
      </c>
      <c r="C737" s="1" t="n">
        <v>45952</v>
      </c>
      <c r="D737" t="inlineStr">
        <is>
          <t>ÖREBRO LÄN</t>
        </is>
      </c>
      <c r="E737" t="inlineStr">
        <is>
          <t>NORA</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60724-2020</t>
        </is>
      </c>
      <c r="B738" s="1" t="n">
        <v>44153</v>
      </c>
      <c r="C738" s="1" t="n">
        <v>45952</v>
      </c>
      <c r="D738" t="inlineStr">
        <is>
          <t>ÖREBRO LÄN</t>
        </is>
      </c>
      <c r="E738" t="inlineStr">
        <is>
          <t>HÄLLEFORS</t>
        </is>
      </c>
      <c r="F738" t="inlineStr">
        <is>
          <t>Kyrkan</t>
        </is>
      </c>
      <c r="G738" t="n">
        <v>2.1</v>
      </c>
      <c r="H738" t="n">
        <v>0</v>
      </c>
      <c r="I738" t="n">
        <v>0</v>
      </c>
      <c r="J738" t="n">
        <v>0</v>
      </c>
      <c r="K738" t="n">
        <v>0</v>
      </c>
      <c r="L738" t="n">
        <v>0</v>
      </c>
      <c r="M738" t="n">
        <v>0</v>
      </c>
      <c r="N738" t="n">
        <v>0</v>
      </c>
      <c r="O738" t="n">
        <v>0</v>
      </c>
      <c r="P738" t="n">
        <v>0</v>
      </c>
      <c r="Q738" t="n">
        <v>0</v>
      </c>
      <c r="R738" s="2" t="inlineStr"/>
    </row>
    <row r="739" ht="15" customHeight="1">
      <c r="A739" t="inlineStr">
        <is>
          <t>A 34355-2022</t>
        </is>
      </c>
      <c r="B739" s="1" t="n">
        <v>44792.45469907407</v>
      </c>
      <c r="C739" s="1" t="n">
        <v>45952</v>
      </c>
      <c r="D739" t="inlineStr">
        <is>
          <t>ÖREBRO LÄN</t>
        </is>
      </c>
      <c r="E739" t="inlineStr">
        <is>
          <t>HÄLLEFORS</t>
        </is>
      </c>
      <c r="G739" t="n">
        <v>0.6</v>
      </c>
      <c r="H739" t="n">
        <v>0</v>
      </c>
      <c r="I739" t="n">
        <v>0</v>
      </c>
      <c r="J739" t="n">
        <v>0</v>
      </c>
      <c r="K739" t="n">
        <v>0</v>
      </c>
      <c r="L739" t="n">
        <v>0</v>
      </c>
      <c r="M739" t="n">
        <v>0</v>
      </c>
      <c r="N739" t="n">
        <v>0</v>
      </c>
      <c r="O739" t="n">
        <v>0</v>
      </c>
      <c r="P739" t="n">
        <v>0</v>
      </c>
      <c r="Q739" t="n">
        <v>0</v>
      </c>
      <c r="R739" s="2" t="inlineStr"/>
    </row>
    <row r="740" ht="15" customHeight="1">
      <c r="A740" t="inlineStr">
        <is>
          <t>A 32408-2021</t>
        </is>
      </c>
      <c r="B740" s="1" t="n">
        <v>44371.6544212963</v>
      </c>
      <c r="C740" s="1" t="n">
        <v>45952</v>
      </c>
      <c r="D740" t="inlineStr">
        <is>
          <t>ÖREBRO LÄN</t>
        </is>
      </c>
      <c r="E740" t="inlineStr">
        <is>
          <t>KARLSKOGA</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50208-2022</t>
        </is>
      </c>
      <c r="B741" s="1" t="n">
        <v>44865.6330787037</v>
      </c>
      <c r="C741" s="1" t="n">
        <v>45952</v>
      </c>
      <c r="D741" t="inlineStr">
        <is>
          <t>ÖREBRO LÄN</t>
        </is>
      </c>
      <c r="E741" t="inlineStr">
        <is>
          <t>NORA</t>
        </is>
      </c>
      <c r="F741" t="inlineStr">
        <is>
          <t>Sveaskog</t>
        </is>
      </c>
      <c r="G741" t="n">
        <v>4.7</v>
      </c>
      <c r="H741" t="n">
        <v>0</v>
      </c>
      <c r="I741" t="n">
        <v>0</v>
      </c>
      <c r="J741" t="n">
        <v>0</v>
      </c>
      <c r="K741" t="n">
        <v>0</v>
      </c>
      <c r="L741" t="n">
        <v>0</v>
      </c>
      <c r="M741" t="n">
        <v>0</v>
      </c>
      <c r="N741" t="n">
        <v>0</v>
      </c>
      <c r="O741" t="n">
        <v>0</v>
      </c>
      <c r="P741" t="n">
        <v>0</v>
      </c>
      <c r="Q741" t="n">
        <v>0</v>
      </c>
      <c r="R741" s="2" t="inlineStr"/>
    </row>
    <row r="742" ht="15" customHeight="1">
      <c r="A742" t="inlineStr">
        <is>
          <t>A 797-2022</t>
        </is>
      </c>
      <c r="B742" s="1" t="n">
        <v>44566</v>
      </c>
      <c r="C742" s="1" t="n">
        <v>45952</v>
      </c>
      <c r="D742" t="inlineStr">
        <is>
          <t>ÖREBRO LÄN</t>
        </is>
      </c>
      <c r="E742" t="inlineStr">
        <is>
          <t>ÖREBRO</t>
        </is>
      </c>
      <c r="G742" t="n">
        <v>0.1</v>
      </c>
      <c r="H742" t="n">
        <v>0</v>
      </c>
      <c r="I742" t="n">
        <v>0</v>
      </c>
      <c r="J742" t="n">
        <v>0</v>
      </c>
      <c r="K742" t="n">
        <v>0</v>
      </c>
      <c r="L742" t="n">
        <v>0</v>
      </c>
      <c r="M742" t="n">
        <v>0</v>
      </c>
      <c r="N742" t="n">
        <v>0</v>
      </c>
      <c r="O742" t="n">
        <v>0</v>
      </c>
      <c r="P742" t="n">
        <v>0</v>
      </c>
      <c r="Q742" t="n">
        <v>0</v>
      </c>
      <c r="R742" s="2" t="inlineStr"/>
    </row>
    <row r="743" ht="15" customHeight="1">
      <c r="A743" t="inlineStr">
        <is>
          <t>A 32309-2022</t>
        </is>
      </c>
      <c r="B743" s="1" t="n">
        <v>44781.64625</v>
      </c>
      <c r="C743" s="1" t="n">
        <v>45952</v>
      </c>
      <c r="D743" t="inlineStr">
        <is>
          <t>ÖREBRO LÄN</t>
        </is>
      </c>
      <c r="E743" t="inlineStr">
        <is>
          <t>LJUSNARSBERG</t>
        </is>
      </c>
      <c r="G743" t="n">
        <v>3.4</v>
      </c>
      <c r="H743" t="n">
        <v>0</v>
      </c>
      <c r="I743" t="n">
        <v>0</v>
      </c>
      <c r="J743" t="n">
        <v>0</v>
      </c>
      <c r="K743" t="n">
        <v>0</v>
      </c>
      <c r="L743" t="n">
        <v>0</v>
      </c>
      <c r="M743" t="n">
        <v>0</v>
      </c>
      <c r="N743" t="n">
        <v>0</v>
      </c>
      <c r="O743" t="n">
        <v>0</v>
      </c>
      <c r="P743" t="n">
        <v>0</v>
      </c>
      <c r="Q743" t="n">
        <v>0</v>
      </c>
      <c r="R743" s="2" t="inlineStr"/>
    </row>
    <row r="744" ht="15" customHeight="1">
      <c r="A744" t="inlineStr">
        <is>
          <t>A 44723-2021</t>
        </is>
      </c>
      <c r="B744" s="1" t="n">
        <v>44438</v>
      </c>
      <c r="C744" s="1" t="n">
        <v>45952</v>
      </c>
      <c r="D744" t="inlineStr">
        <is>
          <t>ÖREBRO LÄN</t>
        </is>
      </c>
      <c r="E744" t="inlineStr">
        <is>
          <t>KARLSKOGA</t>
        </is>
      </c>
      <c r="G744" t="n">
        <v>0.6</v>
      </c>
      <c r="H744" t="n">
        <v>0</v>
      </c>
      <c r="I744" t="n">
        <v>0</v>
      </c>
      <c r="J744" t="n">
        <v>0</v>
      </c>
      <c r="K744" t="n">
        <v>0</v>
      </c>
      <c r="L744" t="n">
        <v>0</v>
      </c>
      <c r="M744" t="n">
        <v>0</v>
      </c>
      <c r="N744" t="n">
        <v>0</v>
      </c>
      <c r="O744" t="n">
        <v>0</v>
      </c>
      <c r="P744" t="n">
        <v>0</v>
      </c>
      <c r="Q744" t="n">
        <v>0</v>
      </c>
      <c r="R744" s="2" t="inlineStr"/>
    </row>
    <row r="745" ht="15" customHeight="1">
      <c r="A745" t="inlineStr">
        <is>
          <t>A 56295-2021</t>
        </is>
      </c>
      <c r="B745" s="1" t="n">
        <v>44477</v>
      </c>
      <c r="C745" s="1" t="n">
        <v>45952</v>
      </c>
      <c r="D745" t="inlineStr">
        <is>
          <t>ÖREBRO LÄN</t>
        </is>
      </c>
      <c r="E745" t="inlineStr">
        <is>
          <t>HÄLLEFORS</t>
        </is>
      </c>
      <c r="G745" t="n">
        <v>11.3</v>
      </c>
      <c r="H745" t="n">
        <v>0</v>
      </c>
      <c r="I745" t="n">
        <v>0</v>
      </c>
      <c r="J745" t="n">
        <v>0</v>
      </c>
      <c r="K745" t="n">
        <v>0</v>
      </c>
      <c r="L745" t="n">
        <v>0</v>
      </c>
      <c r="M745" t="n">
        <v>0</v>
      </c>
      <c r="N745" t="n">
        <v>0</v>
      </c>
      <c r="O745" t="n">
        <v>0</v>
      </c>
      <c r="P745" t="n">
        <v>0</v>
      </c>
      <c r="Q745" t="n">
        <v>0</v>
      </c>
      <c r="R745" s="2" t="inlineStr"/>
    </row>
    <row r="746" ht="15" customHeight="1">
      <c r="A746" t="inlineStr">
        <is>
          <t>A 35796-2021</t>
        </is>
      </c>
      <c r="B746" s="1" t="n">
        <v>44386</v>
      </c>
      <c r="C746" s="1" t="n">
        <v>45952</v>
      </c>
      <c r="D746" t="inlineStr">
        <is>
          <t>ÖREBRO LÄN</t>
        </is>
      </c>
      <c r="E746" t="inlineStr">
        <is>
          <t>ASKERSUND</t>
        </is>
      </c>
      <c r="G746" t="n">
        <v>0.8</v>
      </c>
      <c r="H746" t="n">
        <v>0</v>
      </c>
      <c r="I746" t="n">
        <v>0</v>
      </c>
      <c r="J746" t="n">
        <v>0</v>
      </c>
      <c r="K746" t="n">
        <v>0</v>
      </c>
      <c r="L746" t="n">
        <v>0</v>
      </c>
      <c r="M746" t="n">
        <v>0</v>
      </c>
      <c r="N746" t="n">
        <v>0</v>
      </c>
      <c r="O746" t="n">
        <v>0</v>
      </c>
      <c r="P746" t="n">
        <v>0</v>
      </c>
      <c r="Q746" t="n">
        <v>0</v>
      </c>
      <c r="R746" s="2" t="inlineStr"/>
    </row>
    <row r="747" ht="15" customHeight="1">
      <c r="A747" t="inlineStr">
        <is>
          <t>A 36547-2021</t>
        </is>
      </c>
      <c r="B747" s="1" t="n">
        <v>44391</v>
      </c>
      <c r="C747" s="1" t="n">
        <v>45952</v>
      </c>
      <c r="D747" t="inlineStr">
        <is>
          <t>ÖREBRO LÄN</t>
        </is>
      </c>
      <c r="E747" t="inlineStr">
        <is>
          <t>LJUSNARSBERG</t>
        </is>
      </c>
      <c r="G747" t="n">
        <v>23</v>
      </c>
      <c r="H747" t="n">
        <v>0</v>
      </c>
      <c r="I747" t="n">
        <v>0</v>
      </c>
      <c r="J747" t="n">
        <v>0</v>
      </c>
      <c r="K747" t="n">
        <v>0</v>
      </c>
      <c r="L747" t="n">
        <v>0</v>
      </c>
      <c r="M747" t="n">
        <v>0</v>
      </c>
      <c r="N747" t="n">
        <v>0</v>
      </c>
      <c r="O747" t="n">
        <v>0</v>
      </c>
      <c r="P747" t="n">
        <v>0</v>
      </c>
      <c r="Q747" t="n">
        <v>0</v>
      </c>
      <c r="R747" s="2" t="inlineStr"/>
    </row>
    <row r="748" ht="15" customHeight="1">
      <c r="A748" t="inlineStr">
        <is>
          <t>A 40755-2022</t>
        </is>
      </c>
      <c r="B748" s="1" t="n">
        <v>44820</v>
      </c>
      <c r="C748" s="1" t="n">
        <v>45952</v>
      </c>
      <c r="D748" t="inlineStr">
        <is>
          <t>ÖREBRO LÄN</t>
        </is>
      </c>
      <c r="E748" t="inlineStr">
        <is>
          <t>LINDESBERG</t>
        </is>
      </c>
      <c r="G748" t="n">
        <v>3.8</v>
      </c>
      <c r="H748" t="n">
        <v>0</v>
      </c>
      <c r="I748" t="n">
        <v>0</v>
      </c>
      <c r="J748" t="n">
        <v>0</v>
      </c>
      <c r="K748" t="n">
        <v>0</v>
      </c>
      <c r="L748" t="n">
        <v>0</v>
      </c>
      <c r="M748" t="n">
        <v>0</v>
      </c>
      <c r="N748" t="n">
        <v>0</v>
      </c>
      <c r="O748" t="n">
        <v>0</v>
      </c>
      <c r="P748" t="n">
        <v>0</v>
      </c>
      <c r="Q748" t="n">
        <v>0</v>
      </c>
      <c r="R748" s="2" t="inlineStr"/>
    </row>
    <row r="749" ht="15" customHeight="1">
      <c r="A749" t="inlineStr">
        <is>
          <t>A 47517-2021</t>
        </is>
      </c>
      <c r="B749" s="1" t="n">
        <v>44447</v>
      </c>
      <c r="C749" s="1" t="n">
        <v>45952</v>
      </c>
      <c r="D749" t="inlineStr">
        <is>
          <t>ÖREBRO LÄN</t>
        </is>
      </c>
      <c r="E749" t="inlineStr">
        <is>
          <t>ASKERSUND</t>
        </is>
      </c>
      <c r="G749" t="n">
        <v>1.2</v>
      </c>
      <c r="H749" t="n">
        <v>0</v>
      </c>
      <c r="I749" t="n">
        <v>0</v>
      </c>
      <c r="J749" t="n">
        <v>0</v>
      </c>
      <c r="K749" t="n">
        <v>0</v>
      </c>
      <c r="L749" t="n">
        <v>0</v>
      </c>
      <c r="M749" t="n">
        <v>0</v>
      </c>
      <c r="N749" t="n">
        <v>0</v>
      </c>
      <c r="O749" t="n">
        <v>0</v>
      </c>
      <c r="P749" t="n">
        <v>0</v>
      </c>
      <c r="Q749" t="n">
        <v>0</v>
      </c>
      <c r="R749" s="2" t="inlineStr"/>
    </row>
    <row r="750" ht="15" customHeight="1">
      <c r="A750" t="inlineStr">
        <is>
          <t>A 12127-2021</t>
        </is>
      </c>
      <c r="B750" s="1" t="n">
        <v>44266</v>
      </c>
      <c r="C750" s="1" t="n">
        <v>45952</v>
      </c>
      <c r="D750" t="inlineStr">
        <is>
          <t>ÖREBRO LÄN</t>
        </is>
      </c>
      <c r="E750" t="inlineStr">
        <is>
          <t>HÄLLEFORS</t>
        </is>
      </c>
      <c r="G750" t="n">
        <v>0.9</v>
      </c>
      <c r="H750" t="n">
        <v>0</v>
      </c>
      <c r="I750" t="n">
        <v>0</v>
      </c>
      <c r="J750" t="n">
        <v>0</v>
      </c>
      <c r="K750" t="n">
        <v>0</v>
      </c>
      <c r="L750" t="n">
        <v>0</v>
      </c>
      <c r="M750" t="n">
        <v>0</v>
      </c>
      <c r="N750" t="n">
        <v>0</v>
      </c>
      <c r="O750" t="n">
        <v>0</v>
      </c>
      <c r="P750" t="n">
        <v>0</v>
      </c>
      <c r="Q750" t="n">
        <v>0</v>
      </c>
      <c r="R750" s="2" t="inlineStr"/>
    </row>
    <row r="751" ht="15" customHeight="1">
      <c r="A751" t="inlineStr">
        <is>
          <t>A 44293-2021</t>
        </is>
      </c>
      <c r="B751" s="1" t="n">
        <v>44435</v>
      </c>
      <c r="C751" s="1" t="n">
        <v>45952</v>
      </c>
      <c r="D751" t="inlineStr">
        <is>
          <t>ÖREBRO LÄN</t>
        </is>
      </c>
      <c r="E751" t="inlineStr">
        <is>
          <t>LJUSNARSBERG</t>
        </is>
      </c>
      <c r="G751" t="n">
        <v>1.9</v>
      </c>
      <c r="H751" t="n">
        <v>0</v>
      </c>
      <c r="I751" t="n">
        <v>0</v>
      </c>
      <c r="J751" t="n">
        <v>0</v>
      </c>
      <c r="K751" t="n">
        <v>0</v>
      </c>
      <c r="L751" t="n">
        <v>0</v>
      </c>
      <c r="M751" t="n">
        <v>0</v>
      </c>
      <c r="N751" t="n">
        <v>0</v>
      </c>
      <c r="O751" t="n">
        <v>0</v>
      </c>
      <c r="P751" t="n">
        <v>0</v>
      </c>
      <c r="Q751" t="n">
        <v>0</v>
      </c>
      <c r="R751" s="2" t="inlineStr"/>
    </row>
    <row r="752" ht="15" customHeight="1">
      <c r="A752" t="inlineStr">
        <is>
          <t>A 55248-2020</t>
        </is>
      </c>
      <c r="B752" s="1" t="n">
        <v>44130</v>
      </c>
      <c r="C752" s="1" t="n">
        <v>45952</v>
      </c>
      <c r="D752" t="inlineStr">
        <is>
          <t>ÖREBRO LÄN</t>
        </is>
      </c>
      <c r="E752" t="inlineStr">
        <is>
          <t>LJUSNARSBERG</t>
        </is>
      </c>
      <c r="G752" t="n">
        <v>0.5</v>
      </c>
      <c r="H752" t="n">
        <v>0</v>
      </c>
      <c r="I752" t="n">
        <v>0</v>
      </c>
      <c r="J752" t="n">
        <v>0</v>
      </c>
      <c r="K752" t="n">
        <v>0</v>
      </c>
      <c r="L752" t="n">
        <v>0</v>
      </c>
      <c r="M752" t="n">
        <v>0</v>
      </c>
      <c r="N752" t="n">
        <v>0</v>
      </c>
      <c r="O752" t="n">
        <v>0</v>
      </c>
      <c r="P752" t="n">
        <v>0</v>
      </c>
      <c r="Q752" t="n">
        <v>0</v>
      </c>
      <c r="R752" s="2" t="inlineStr"/>
    </row>
    <row r="753" ht="15" customHeight="1">
      <c r="A753" t="inlineStr">
        <is>
          <t>A 44150-2021</t>
        </is>
      </c>
      <c r="B753" s="1" t="n">
        <v>44434</v>
      </c>
      <c r="C753" s="1" t="n">
        <v>45952</v>
      </c>
      <c r="D753" t="inlineStr">
        <is>
          <t>ÖREBRO LÄN</t>
        </is>
      </c>
      <c r="E753" t="inlineStr">
        <is>
          <t>ASKERSUND</t>
        </is>
      </c>
      <c r="G753" t="n">
        <v>4</v>
      </c>
      <c r="H753" t="n">
        <v>0</v>
      </c>
      <c r="I753" t="n">
        <v>0</v>
      </c>
      <c r="J753" t="n">
        <v>0</v>
      </c>
      <c r="K753" t="n">
        <v>0</v>
      </c>
      <c r="L753" t="n">
        <v>0</v>
      </c>
      <c r="M753" t="n">
        <v>0</v>
      </c>
      <c r="N753" t="n">
        <v>0</v>
      </c>
      <c r="O753" t="n">
        <v>0</v>
      </c>
      <c r="P753" t="n">
        <v>0</v>
      </c>
      <c r="Q753" t="n">
        <v>0</v>
      </c>
      <c r="R753" s="2" t="inlineStr"/>
    </row>
    <row r="754" ht="15" customHeight="1">
      <c r="A754" t="inlineStr">
        <is>
          <t>A 48428-2021</t>
        </is>
      </c>
      <c r="B754" s="1" t="n">
        <v>44449</v>
      </c>
      <c r="C754" s="1" t="n">
        <v>45952</v>
      </c>
      <c r="D754" t="inlineStr">
        <is>
          <t>ÖREBRO LÄN</t>
        </is>
      </c>
      <c r="E754" t="inlineStr">
        <is>
          <t>ASKERSUND</t>
        </is>
      </c>
      <c r="G754" t="n">
        <v>2</v>
      </c>
      <c r="H754" t="n">
        <v>0</v>
      </c>
      <c r="I754" t="n">
        <v>0</v>
      </c>
      <c r="J754" t="n">
        <v>0</v>
      </c>
      <c r="K754" t="n">
        <v>0</v>
      </c>
      <c r="L754" t="n">
        <v>0</v>
      </c>
      <c r="M754" t="n">
        <v>0</v>
      </c>
      <c r="N754" t="n">
        <v>0</v>
      </c>
      <c r="O754" t="n">
        <v>0</v>
      </c>
      <c r="P754" t="n">
        <v>0</v>
      </c>
      <c r="Q754" t="n">
        <v>0</v>
      </c>
      <c r="R754" s="2" t="inlineStr"/>
    </row>
    <row r="755" ht="15" customHeight="1">
      <c r="A755" t="inlineStr">
        <is>
          <t>A 48463-2021</t>
        </is>
      </c>
      <c r="B755" s="1" t="n">
        <v>44452.38803240741</v>
      </c>
      <c r="C755" s="1" t="n">
        <v>45952</v>
      </c>
      <c r="D755" t="inlineStr">
        <is>
          <t>ÖREBRO LÄN</t>
        </is>
      </c>
      <c r="E755" t="inlineStr">
        <is>
          <t>ASKERSUND</t>
        </is>
      </c>
      <c r="G755" t="n">
        <v>1.2</v>
      </c>
      <c r="H755" t="n">
        <v>0</v>
      </c>
      <c r="I755" t="n">
        <v>0</v>
      </c>
      <c r="J755" t="n">
        <v>0</v>
      </c>
      <c r="K755" t="n">
        <v>0</v>
      </c>
      <c r="L755" t="n">
        <v>0</v>
      </c>
      <c r="M755" t="n">
        <v>0</v>
      </c>
      <c r="N755" t="n">
        <v>0</v>
      </c>
      <c r="O755" t="n">
        <v>0</v>
      </c>
      <c r="P755" t="n">
        <v>0</v>
      </c>
      <c r="Q755" t="n">
        <v>0</v>
      </c>
      <c r="R755" s="2" t="inlineStr"/>
    </row>
    <row r="756" ht="15" customHeight="1">
      <c r="A756" t="inlineStr">
        <is>
          <t>A 15770-2021</t>
        </is>
      </c>
      <c r="B756" s="1" t="n">
        <v>44286</v>
      </c>
      <c r="C756" s="1" t="n">
        <v>45952</v>
      </c>
      <c r="D756" t="inlineStr">
        <is>
          <t>ÖREBRO LÄN</t>
        </is>
      </c>
      <c r="E756" t="inlineStr">
        <is>
          <t>LAXÅ</t>
        </is>
      </c>
      <c r="G756" t="n">
        <v>2.8</v>
      </c>
      <c r="H756" t="n">
        <v>0</v>
      </c>
      <c r="I756" t="n">
        <v>0</v>
      </c>
      <c r="J756" t="n">
        <v>0</v>
      </c>
      <c r="K756" t="n">
        <v>0</v>
      </c>
      <c r="L756" t="n">
        <v>0</v>
      </c>
      <c r="M756" t="n">
        <v>0</v>
      </c>
      <c r="N756" t="n">
        <v>0</v>
      </c>
      <c r="O756" t="n">
        <v>0</v>
      </c>
      <c r="P756" t="n">
        <v>0</v>
      </c>
      <c r="Q756" t="n">
        <v>0</v>
      </c>
      <c r="R756" s="2" t="inlineStr"/>
    </row>
    <row r="757" ht="15" customHeight="1">
      <c r="A757" t="inlineStr">
        <is>
          <t>A 13120-2022</t>
        </is>
      </c>
      <c r="B757" s="1" t="n">
        <v>44643</v>
      </c>
      <c r="C757" s="1" t="n">
        <v>45952</v>
      </c>
      <c r="D757" t="inlineStr">
        <is>
          <t>ÖREBRO LÄN</t>
        </is>
      </c>
      <c r="E757" t="inlineStr">
        <is>
          <t>HALLSBERG</t>
        </is>
      </c>
      <c r="G757" t="n">
        <v>1.8</v>
      </c>
      <c r="H757" t="n">
        <v>0</v>
      </c>
      <c r="I757" t="n">
        <v>0</v>
      </c>
      <c r="J757" t="n">
        <v>0</v>
      </c>
      <c r="K757" t="n">
        <v>0</v>
      </c>
      <c r="L757" t="n">
        <v>0</v>
      </c>
      <c r="M757" t="n">
        <v>0</v>
      </c>
      <c r="N757" t="n">
        <v>0</v>
      </c>
      <c r="O757" t="n">
        <v>0</v>
      </c>
      <c r="P757" t="n">
        <v>0</v>
      </c>
      <c r="Q757" t="n">
        <v>0</v>
      </c>
      <c r="R757" s="2" t="inlineStr"/>
    </row>
    <row r="758" ht="15" customHeight="1">
      <c r="A758" t="inlineStr">
        <is>
          <t>A 35836-2021</t>
        </is>
      </c>
      <c r="B758" s="1" t="n">
        <v>44386</v>
      </c>
      <c r="C758" s="1" t="n">
        <v>45952</v>
      </c>
      <c r="D758" t="inlineStr">
        <is>
          <t>ÖREBRO LÄN</t>
        </is>
      </c>
      <c r="E758" t="inlineStr">
        <is>
          <t>ÖREBRO</t>
        </is>
      </c>
      <c r="F758" t="inlineStr">
        <is>
          <t>Kommuner</t>
        </is>
      </c>
      <c r="G758" t="n">
        <v>2.1</v>
      </c>
      <c r="H758" t="n">
        <v>0</v>
      </c>
      <c r="I758" t="n">
        <v>0</v>
      </c>
      <c r="J758" t="n">
        <v>0</v>
      </c>
      <c r="K758" t="n">
        <v>0</v>
      </c>
      <c r="L758" t="n">
        <v>0</v>
      </c>
      <c r="M758" t="n">
        <v>0</v>
      </c>
      <c r="N758" t="n">
        <v>0</v>
      </c>
      <c r="O758" t="n">
        <v>0</v>
      </c>
      <c r="P758" t="n">
        <v>0</v>
      </c>
      <c r="Q758" t="n">
        <v>0</v>
      </c>
      <c r="R758" s="2" t="inlineStr"/>
    </row>
    <row r="759" ht="15" customHeight="1">
      <c r="A759" t="inlineStr">
        <is>
          <t>A 39187-2021</t>
        </is>
      </c>
      <c r="B759" s="1" t="n">
        <v>44412</v>
      </c>
      <c r="C759" s="1" t="n">
        <v>45952</v>
      </c>
      <c r="D759" t="inlineStr">
        <is>
          <t>ÖREBRO LÄN</t>
        </is>
      </c>
      <c r="E759" t="inlineStr">
        <is>
          <t>LJUSNARSBERG</t>
        </is>
      </c>
      <c r="G759" t="n">
        <v>2.3</v>
      </c>
      <c r="H759" t="n">
        <v>0</v>
      </c>
      <c r="I759" t="n">
        <v>0</v>
      </c>
      <c r="J759" t="n">
        <v>0</v>
      </c>
      <c r="K759" t="n">
        <v>0</v>
      </c>
      <c r="L759" t="n">
        <v>0</v>
      </c>
      <c r="M759" t="n">
        <v>0</v>
      </c>
      <c r="N759" t="n">
        <v>0</v>
      </c>
      <c r="O759" t="n">
        <v>0</v>
      </c>
      <c r="P759" t="n">
        <v>0</v>
      </c>
      <c r="Q759" t="n">
        <v>0</v>
      </c>
      <c r="R759" s="2" t="inlineStr"/>
    </row>
    <row r="760" ht="15" customHeight="1">
      <c r="A760" t="inlineStr">
        <is>
          <t>A 8047-2022</t>
        </is>
      </c>
      <c r="B760" s="1" t="n">
        <v>44609</v>
      </c>
      <c r="C760" s="1" t="n">
        <v>45952</v>
      </c>
      <c r="D760" t="inlineStr">
        <is>
          <t>ÖREBRO LÄN</t>
        </is>
      </c>
      <c r="E760" t="inlineStr">
        <is>
          <t>LEKEBERG</t>
        </is>
      </c>
      <c r="G760" t="n">
        <v>0.8</v>
      </c>
      <c r="H760" t="n">
        <v>0</v>
      </c>
      <c r="I760" t="n">
        <v>0</v>
      </c>
      <c r="J760" t="n">
        <v>0</v>
      </c>
      <c r="K760" t="n">
        <v>0</v>
      </c>
      <c r="L760" t="n">
        <v>0</v>
      </c>
      <c r="M760" t="n">
        <v>0</v>
      </c>
      <c r="N760" t="n">
        <v>0</v>
      </c>
      <c r="O760" t="n">
        <v>0</v>
      </c>
      <c r="P760" t="n">
        <v>0</v>
      </c>
      <c r="Q760" t="n">
        <v>0</v>
      </c>
      <c r="R760" s="2" t="inlineStr"/>
    </row>
    <row r="761" ht="15" customHeight="1">
      <c r="A761" t="inlineStr">
        <is>
          <t>A 49616-2021</t>
        </is>
      </c>
      <c r="B761" s="1" t="n">
        <v>44455</v>
      </c>
      <c r="C761" s="1" t="n">
        <v>45952</v>
      </c>
      <c r="D761" t="inlineStr">
        <is>
          <t>ÖREBRO LÄN</t>
        </is>
      </c>
      <c r="E761" t="inlineStr">
        <is>
          <t>KUMLA</t>
        </is>
      </c>
      <c r="G761" t="n">
        <v>3.8</v>
      </c>
      <c r="H761" t="n">
        <v>0</v>
      </c>
      <c r="I761" t="n">
        <v>0</v>
      </c>
      <c r="J761" t="n">
        <v>0</v>
      </c>
      <c r="K761" t="n">
        <v>0</v>
      </c>
      <c r="L761" t="n">
        <v>0</v>
      </c>
      <c r="M761" t="n">
        <v>0</v>
      </c>
      <c r="N761" t="n">
        <v>0</v>
      </c>
      <c r="O761" t="n">
        <v>0</v>
      </c>
      <c r="P761" t="n">
        <v>0</v>
      </c>
      <c r="Q761" t="n">
        <v>0</v>
      </c>
      <c r="R761" s="2" t="inlineStr"/>
    </row>
    <row r="762" ht="15" customHeight="1">
      <c r="A762" t="inlineStr">
        <is>
          <t>A 50543-2021</t>
        </is>
      </c>
      <c r="B762" s="1" t="n">
        <v>44459</v>
      </c>
      <c r="C762" s="1" t="n">
        <v>45952</v>
      </c>
      <c r="D762" t="inlineStr">
        <is>
          <t>ÖREBRO LÄN</t>
        </is>
      </c>
      <c r="E762" t="inlineStr">
        <is>
          <t>LAXÅ</t>
        </is>
      </c>
      <c r="G762" t="n">
        <v>0.5</v>
      </c>
      <c r="H762" t="n">
        <v>0</v>
      </c>
      <c r="I762" t="n">
        <v>0</v>
      </c>
      <c r="J762" t="n">
        <v>0</v>
      </c>
      <c r="K762" t="n">
        <v>0</v>
      </c>
      <c r="L762" t="n">
        <v>0</v>
      </c>
      <c r="M762" t="n">
        <v>0</v>
      </c>
      <c r="N762" t="n">
        <v>0</v>
      </c>
      <c r="O762" t="n">
        <v>0</v>
      </c>
      <c r="P762" t="n">
        <v>0</v>
      </c>
      <c r="Q762" t="n">
        <v>0</v>
      </c>
      <c r="R762" s="2" t="inlineStr"/>
    </row>
    <row r="763" ht="15" customHeight="1">
      <c r="A763" t="inlineStr">
        <is>
          <t>A 12461-2021</t>
        </is>
      </c>
      <c r="B763" s="1" t="n">
        <v>44267.65956018519</v>
      </c>
      <c r="C763" s="1" t="n">
        <v>45952</v>
      </c>
      <c r="D763" t="inlineStr">
        <is>
          <t>ÖREBRO LÄN</t>
        </is>
      </c>
      <c r="E763" t="inlineStr">
        <is>
          <t>HALLSBERG</t>
        </is>
      </c>
      <c r="F763" t="inlineStr">
        <is>
          <t>Allmännings- och besparingsskogar</t>
        </is>
      </c>
      <c r="G763" t="n">
        <v>1.4</v>
      </c>
      <c r="H763" t="n">
        <v>0</v>
      </c>
      <c r="I763" t="n">
        <v>0</v>
      </c>
      <c r="J763" t="n">
        <v>0</v>
      </c>
      <c r="K763" t="n">
        <v>0</v>
      </c>
      <c r="L763" t="n">
        <v>0</v>
      </c>
      <c r="M763" t="n">
        <v>0</v>
      </c>
      <c r="N763" t="n">
        <v>0</v>
      </c>
      <c r="O763" t="n">
        <v>0</v>
      </c>
      <c r="P763" t="n">
        <v>0</v>
      </c>
      <c r="Q763" t="n">
        <v>0</v>
      </c>
      <c r="R763" s="2" t="inlineStr"/>
    </row>
    <row r="764" ht="15" customHeight="1">
      <c r="A764" t="inlineStr">
        <is>
          <t>A 44197-2021</t>
        </is>
      </c>
      <c r="B764" s="1" t="n">
        <v>44434.74203703704</v>
      </c>
      <c r="C764" s="1" t="n">
        <v>45952</v>
      </c>
      <c r="D764" t="inlineStr">
        <is>
          <t>ÖREBRO LÄN</t>
        </is>
      </c>
      <c r="E764" t="inlineStr">
        <is>
          <t>LINDESBERG</t>
        </is>
      </c>
      <c r="G764" t="n">
        <v>1.1</v>
      </c>
      <c r="H764" t="n">
        <v>0</v>
      </c>
      <c r="I764" t="n">
        <v>0</v>
      </c>
      <c r="J764" t="n">
        <v>0</v>
      </c>
      <c r="K764" t="n">
        <v>0</v>
      </c>
      <c r="L764" t="n">
        <v>0</v>
      </c>
      <c r="M764" t="n">
        <v>0</v>
      </c>
      <c r="N764" t="n">
        <v>0</v>
      </c>
      <c r="O764" t="n">
        <v>0</v>
      </c>
      <c r="P764" t="n">
        <v>0</v>
      </c>
      <c r="Q764" t="n">
        <v>0</v>
      </c>
      <c r="R764" s="2" t="inlineStr"/>
    </row>
    <row r="765" ht="15" customHeight="1">
      <c r="A765" t="inlineStr">
        <is>
          <t>A 13045-2022</t>
        </is>
      </c>
      <c r="B765" s="1" t="n">
        <v>44643</v>
      </c>
      <c r="C765" s="1" t="n">
        <v>45952</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8186-2022</t>
        </is>
      </c>
      <c r="B766" s="1" t="n">
        <v>44609</v>
      </c>
      <c r="C766" s="1" t="n">
        <v>45952</v>
      </c>
      <c r="D766" t="inlineStr">
        <is>
          <t>ÖREBRO LÄN</t>
        </is>
      </c>
      <c r="E766" t="inlineStr">
        <is>
          <t>DEGERFORS</t>
        </is>
      </c>
      <c r="G766" t="n">
        <v>0.5</v>
      </c>
      <c r="H766" t="n">
        <v>0</v>
      </c>
      <c r="I766" t="n">
        <v>0</v>
      </c>
      <c r="J766" t="n">
        <v>0</v>
      </c>
      <c r="K766" t="n">
        <v>0</v>
      </c>
      <c r="L766" t="n">
        <v>0</v>
      </c>
      <c r="M766" t="n">
        <v>0</v>
      </c>
      <c r="N766" t="n">
        <v>0</v>
      </c>
      <c r="O766" t="n">
        <v>0</v>
      </c>
      <c r="P766" t="n">
        <v>0</v>
      </c>
      <c r="Q766" t="n">
        <v>0</v>
      </c>
      <c r="R766" s="2" t="inlineStr"/>
    </row>
    <row r="767" ht="15" customHeight="1">
      <c r="A767" t="inlineStr">
        <is>
          <t>A 5636-2022</t>
        </is>
      </c>
      <c r="B767" s="1" t="n">
        <v>44595.85019675926</v>
      </c>
      <c r="C767" s="1" t="n">
        <v>45952</v>
      </c>
      <c r="D767" t="inlineStr">
        <is>
          <t>ÖREBRO LÄN</t>
        </is>
      </c>
      <c r="E767" t="inlineStr">
        <is>
          <t>LJUSNARSBERG</t>
        </is>
      </c>
      <c r="G767" t="n">
        <v>0.7</v>
      </c>
      <c r="H767" t="n">
        <v>0</v>
      </c>
      <c r="I767" t="n">
        <v>0</v>
      </c>
      <c r="J767" t="n">
        <v>0</v>
      </c>
      <c r="K767" t="n">
        <v>0</v>
      </c>
      <c r="L767" t="n">
        <v>0</v>
      </c>
      <c r="M767" t="n">
        <v>0</v>
      </c>
      <c r="N767" t="n">
        <v>0</v>
      </c>
      <c r="O767" t="n">
        <v>0</v>
      </c>
      <c r="P767" t="n">
        <v>0</v>
      </c>
      <c r="Q767" t="n">
        <v>0</v>
      </c>
      <c r="R767" s="2" t="inlineStr"/>
    </row>
    <row r="768" ht="15" customHeight="1">
      <c r="A768" t="inlineStr">
        <is>
          <t>A 22804-2021</t>
        </is>
      </c>
      <c r="B768" s="1" t="n">
        <v>44328</v>
      </c>
      <c r="C768" s="1" t="n">
        <v>45952</v>
      </c>
      <c r="D768" t="inlineStr">
        <is>
          <t>ÖREBRO LÄN</t>
        </is>
      </c>
      <c r="E768" t="inlineStr">
        <is>
          <t>LAXÅ</t>
        </is>
      </c>
      <c r="G768" t="n">
        <v>2.8</v>
      </c>
      <c r="H768" t="n">
        <v>0</v>
      </c>
      <c r="I768" t="n">
        <v>0</v>
      </c>
      <c r="J768" t="n">
        <v>0</v>
      </c>
      <c r="K768" t="n">
        <v>0</v>
      </c>
      <c r="L768" t="n">
        <v>0</v>
      </c>
      <c r="M768" t="n">
        <v>0</v>
      </c>
      <c r="N768" t="n">
        <v>0</v>
      </c>
      <c r="O768" t="n">
        <v>0</v>
      </c>
      <c r="P768" t="n">
        <v>0</v>
      </c>
      <c r="Q768" t="n">
        <v>0</v>
      </c>
      <c r="R768" s="2" t="inlineStr"/>
    </row>
    <row r="769" ht="15" customHeight="1">
      <c r="A769" t="inlineStr">
        <is>
          <t>A 8573-2021</t>
        </is>
      </c>
      <c r="B769" s="1" t="n">
        <v>44245</v>
      </c>
      <c r="C769" s="1" t="n">
        <v>45952</v>
      </c>
      <c r="D769" t="inlineStr">
        <is>
          <t>ÖREBRO LÄN</t>
        </is>
      </c>
      <c r="E769" t="inlineStr">
        <is>
          <t>KARLSKOGA</t>
        </is>
      </c>
      <c r="G769" t="n">
        <v>3.3</v>
      </c>
      <c r="H769" t="n">
        <v>0</v>
      </c>
      <c r="I769" t="n">
        <v>0</v>
      </c>
      <c r="J769" t="n">
        <v>0</v>
      </c>
      <c r="K769" t="n">
        <v>0</v>
      </c>
      <c r="L769" t="n">
        <v>0</v>
      </c>
      <c r="M769" t="n">
        <v>0</v>
      </c>
      <c r="N769" t="n">
        <v>0</v>
      </c>
      <c r="O769" t="n">
        <v>0</v>
      </c>
      <c r="P769" t="n">
        <v>0</v>
      </c>
      <c r="Q769" t="n">
        <v>0</v>
      </c>
      <c r="R769" s="2" t="inlineStr"/>
    </row>
    <row r="770" ht="15" customHeight="1">
      <c r="A770" t="inlineStr">
        <is>
          <t>A 8590-2021</t>
        </is>
      </c>
      <c r="B770" s="1" t="n">
        <v>44245</v>
      </c>
      <c r="C770" s="1" t="n">
        <v>45952</v>
      </c>
      <c r="D770" t="inlineStr">
        <is>
          <t>ÖREBRO LÄN</t>
        </is>
      </c>
      <c r="E770" t="inlineStr">
        <is>
          <t>KARLSKOGA</t>
        </is>
      </c>
      <c r="F770" t="inlineStr">
        <is>
          <t>Övriga Aktiebolag</t>
        </is>
      </c>
      <c r="G770" t="n">
        <v>0.3</v>
      </c>
      <c r="H770" t="n">
        <v>0</v>
      </c>
      <c r="I770" t="n">
        <v>0</v>
      </c>
      <c r="J770" t="n">
        <v>0</v>
      </c>
      <c r="K770" t="n">
        <v>0</v>
      </c>
      <c r="L770" t="n">
        <v>0</v>
      </c>
      <c r="M770" t="n">
        <v>0</v>
      </c>
      <c r="N770" t="n">
        <v>0</v>
      </c>
      <c r="O770" t="n">
        <v>0</v>
      </c>
      <c r="P770" t="n">
        <v>0</v>
      </c>
      <c r="Q770" t="n">
        <v>0</v>
      </c>
      <c r="R770" s="2" t="inlineStr"/>
    </row>
    <row r="771" ht="15" customHeight="1">
      <c r="A771" t="inlineStr">
        <is>
          <t>A 19084-2021</t>
        </is>
      </c>
      <c r="B771" s="1" t="n">
        <v>44308</v>
      </c>
      <c r="C771" s="1" t="n">
        <v>45952</v>
      </c>
      <c r="D771" t="inlineStr">
        <is>
          <t>ÖREBRO LÄN</t>
        </is>
      </c>
      <c r="E771" t="inlineStr">
        <is>
          <t>DEGERFORS</t>
        </is>
      </c>
      <c r="G771" t="n">
        <v>2.2</v>
      </c>
      <c r="H771" t="n">
        <v>0</v>
      </c>
      <c r="I771" t="n">
        <v>0</v>
      </c>
      <c r="J771" t="n">
        <v>0</v>
      </c>
      <c r="K771" t="n">
        <v>0</v>
      </c>
      <c r="L771" t="n">
        <v>0</v>
      </c>
      <c r="M771" t="n">
        <v>0</v>
      </c>
      <c r="N771" t="n">
        <v>0</v>
      </c>
      <c r="O771" t="n">
        <v>0</v>
      </c>
      <c r="P771" t="n">
        <v>0</v>
      </c>
      <c r="Q771" t="n">
        <v>0</v>
      </c>
      <c r="R771" s="2" t="inlineStr"/>
    </row>
    <row r="772" ht="15" customHeight="1">
      <c r="A772" t="inlineStr">
        <is>
          <t>A 19562-2022</t>
        </is>
      </c>
      <c r="B772" s="1" t="n">
        <v>44693.66775462963</v>
      </c>
      <c r="C772" s="1" t="n">
        <v>45952</v>
      </c>
      <c r="D772" t="inlineStr">
        <is>
          <t>ÖREBRO LÄN</t>
        </is>
      </c>
      <c r="E772" t="inlineStr">
        <is>
          <t>LINDESBERG</t>
        </is>
      </c>
      <c r="F772" t="inlineStr">
        <is>
          <t>Kyrkan</t>
        </is>
      </c>
      <c r="G772" t="n">
        <v>4.2</v>
      </c>
      <c r="H772" t="n">
        <v>0</v>
      </c>
      <c r="I772" t="n">
        <v>0</v>
      </c>
      <c r="J772" t="n">
        <v>0</v>
      </c>
      <c r="K772" t="n">
        <v>0</v>
      </c>
      <c r="L772" t="n">
        <v>0</v>
      </c>
      <c r="M772" t="n">
        <v>0</v>
      </c>
      <c r="N772" t="n">
        <v>0</v>
      </c>
      <c r="O772" t="n">
        <v>0</v>
      </c>
      <c r="P772" t="n">
        <v>0</v>
      </c>
      <c r="Q772" t="n">
        <v>0</v>
      </c>
      <c r="R772" s="2" t="inlineStr"/>
    </row>
    <row r="773" ht="15" customHeight="1">
      <c r="A773" t="inlineStr">
        <is>
          <t>A 49154-2021</t>
        </is>
      </c>
      <c r="B773" s="1" t="n">
        <v>44453</v>
      </c>
      <c r="C773" s="1" t="n">
        <v>45952</v>
      </c>
      <c r="D773" t="inlineStr">
        <is>
          <t>ÖREBRO LÄN</t>
        </is>
      </c>
      <c r="E773" t="inlineStr">
        <is>
          <t>HÄLLEFORS</t>
        </is>
      </c>
      <c r="G773" t="n">
        <v>0.7</v>
      </c>
      <c r="H773" t="n">
        <v>0</v>
      </c>
      <c r="I773" t="n">
        <v>0</v>
      </c>
      <c r="J773" t="n">
        <v>0</v>
      </c>
      <c r="K773" t="n">
        <v>0</v>
      </c>
      <c r="L773" t="n">
        <v>0</v>
      </c>
      <c r="M773" t="n">
        <v>0</v>
      </c>
      <c r="N773" t="n">
        <v>0</v>
      </c>
      <c r="O773" t="n">
        <v>0</v>
      </c>
      <c r="P773" t="n">
        <v>0</v>
      </c>
      <c r="Q773" t="n">
        <v>0</v>
      </c>
      <c r="R773" s="2" t="inlineStr"/>
    </row>
    <row r="774" ht="15" customHeight="1">
      <c r="A774" t="inlineStr">
        <is>
          <t>A 64008-2021</t>
        </is>
      </c>
      <c r="B774" s="1" t="n">
        <v>44510.29388888889</v>
      </c>
      <c r="C774" s="1" t="n">
        <v>45952</v>
      </c>
      <c r="D774" t="inlineStr">
        <is>
          <t>ÖREBRO LÄN</t>
        </is>
      </c>
      <c r="E774" t="inlineStr">
        <is>
          <t>ASKERSUND</t>
        </is>
      </c>
      <c r="G774" t="n">
        <v>0.5</v>
      </c>
      <c r="H774" t="n">
        <v>0</v>
      </c>
      <c r="I774" t="n">
        <v>0</v>
      </c>
      <c r="J774" t="n">
        <v>0</v>
      </c>
      <c r="K774" t="n">
        <v>0</v>
      </c>
      <c r="L774" t="n">
        <v>0</v>
      </c>
      <c r="M774" t="n">
        <v>0</v>
      </c>
      <c r="N774" t="n">
        <v>0</v>
      </c>
      <c r="O774" t="n">
        <v>0</v>
      </c>
      <c r="P774" t="n">
        <v>0</v>
      </c>
      <c r="Q774" t="n">
        <v>0</v>
      </c>
      <c r="R774" s="2" t="inlineStr"/>
    </row>
    <row r="775" ht="15" customHeight="1">
      <c r="A775" t="inlineStr">
        <is>
          <t>A 19612-2022</t>
        </is>
      </c>
      <c r="B775" s="1" t="n">
        <v>44694.29309027778</v>
      </c>
      <c r="C775" s="1" t="n">
        <v>45952</v>
      </c>
      <c r="D775" t="inlineStr">
        <is>
          <t>ÖREBRO LÄN</t>
        </is>
      </c>
      <c r="E775" t="inlineStr">
        <is>
          <t>LINDESBERG</t>
        </is>
      </c>
      <c r="F775" t="inlineStr">
        <is>
          <t>Kyrkan</t>
        </is>
      </c>
      <c r="G775" t="n">
        <v>1.3</v>
      </c>
      <c r="H775" t="n">
        <v>0</v>
      </c>
      <c r="I775" t="n">
        <v>0</v>
      </c>
      <c r="J775" t="n">
        <v>0</v>
      </c>
      <c r="K775" t="n">
        <v>0</v>
      </c>
      <c r="L775" t="n">
        <v>0</v>
      </c>
      <c r="M775" t="n">
        <v>0</v>
      </c>
      <c r="N775" t="n">
        <v>0</v>
      </c>
      <c r="O775" t="n">
        <v>0</v>
      </c>
      <c r="P775" t="n">
        <v>0</v>
      </c>
      <c r="Q775" t="n">
        <v>0</v>
      </c>
      <c r="R775" s="2" t="inlineStr"/>
    </row>
    <row r="776" ht="15" customHeight="1">
      <c r="A776" t="inlineStr">
        <is>
          <t>A 57765-2021</t>
        </is>
      </c>
      <c r="B776" s="1" t="n">
        <v>44484.56523148148</v>
      </c>
      <c r="C776" s="1" t="n">
        <v>45952</v>
      </c>
      <c r="D776" t="inlineStr">
        <is>
          <t>ÖREBRO LÄN</t>
        </is>
      </c>
      <c r="E776" t="inlineStr">
        <is>
          <t>LINDESBERG</t>
        </is>
      </c>
      <c r="G776" t="n">
        <v>3.4</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45952</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58633-2020</t>
        </is>
      </c>
      <c r="B778" s="1" t="n">
        <v>44145</v>
      </c>
      <c r="C778" s="1" t="n">
        <v>45952</v>
      </c>
      <c r="D778" t="inlineStr">
        <is>
          <t>ÖREBRO LÄN</t>
        </is>
      </c>
      <c r="E778" t="inlineStr">
        <is>
          <t>ÖREBRO</t>
        </is>
      </c>
      <c r="G778" t="n">
        <v>1.4</v>
      </c>
      <c r="H778" t="n">
        <v>0</v>
      </c>
      <c r="I778" t="n">
        <v>0</v>
      </c>
      <c r="J778" t="n">
        <v>0</v>
      </c>
      <c r="K778" t="n">
        <v>0</v>
      </c>
      <c r="L778" t="n">
        <v>0</v>
      </c>
      <c r="M778" t="n">
        <v>0</v>
      </c>
      <c r="N778" t="n">
        <v>0</v>
      </c>
      <c r="O778" t="n">
        <v>0</v>
      </c>
      <c r="P778" t="n">
        <v>0</v>
      </c>
      <c r="Q778" t="n">
        <v>0</v>
      </c>
      <c r="R778" s="2" t="inlineStr"/>
    </row>
    <row r="779" ht="15" customHeight="1">
      <c r="A779" t="inlineStr">
        <is>
          <t>A 19057-2022</t>
        </is>
      </c>
      <c r="B779" s="1" t="n">
        <v>44691</v>
      </c>
      <c r="C779" s="1" t="n">
        <v>45952</v>
      </c>
      <c r="D779" t="inlineStr">
        <is>
          <t>ÖREBRO LÄN</t>
        </is>
      </c>
      <c r="E779" t="inlineStr">
        <is>
          <t>LINDESBERG</t>
        </is>
      </c>
      <c r="G779" t="n">
        <v>2.1</v>
      </c>
      <c r="H779" t="n">
        <v>0</v>
      </c>
      <c r="I779" t="n">
        <v>0</v>
      </c>
      <c r="J779" t="n">
        <v>0</v>
      </c>
      <c r="K779" t="n">
        <v>0</v>
      </c>
      <c r="L779" t="n">
        <v>0</v>
      </c>
      <c r="M779" t="n">
        <v>0</v>
      </c>
      <c r="N779" t="n">
        <v>0</v>
      </c>
      <c r="O779" t="n">
        <v>0</v>
      </c>
      <c r="P779" t="n">
        <v>0</v>
      </c>
      <c r="Q779" t="n">
        <v>0</v>
      </c>
      <c r="R779" s="2" t="inlineStr"/>
    </row>
    <row r="780" ht="15" customHeight="1">
      <c r="A780" t="inlineStr">
        <is>
          <t>A 18402-2021</t>
        </is>
      </c>
      <c r="B780" s="1" t="n">
        <v>44305</v>
      </c>
      <c r="C780" s="1" t="n">
        <v>45952</v>
      </c>
      <c r="D780" t="inlineStr">
        <is>
          <t>ÖREBRO LÄN</t>
        </is>
      </c>
      <c r="E780" t="inlineStr">
        <is>
          <t>LINDESBERG</t>
        </is>
      </c>
      <c r="G780" t="n">
        <v>1.4</v>
      </c>
      <c r="H780" t="n">
        <v>0</v>
      </c>
      <c r="I780" t="n">
        <v>0</v>
      </c>
      <c r="J780" t="n">
        <v>0</v>
      </c>
      <c r="K780" t="n">
        <v>0</v>
      </c>
      <c r="L780" t="n">
        <v>0</v>
      </c>
      <c r="M780" t="n">
        <v>0</v>
      </c>
      <c r="N780" t="n">
        <v>0</v>
      </c>
      <c r="O780" t="n">
        <v>0</v>
      </c>
      <c r="P780" t="n">
        <v>0</v>
      </c>
      <c r="Q780" t="n">
        <v>0</v>
      </c>
      <c r="R780" s="2" t="inlineStr"/>
    </row>
    <row r="781" ht="15" customHeight="1">
      <c r="A781" t="inlineStr">
        <is>
          <t>A 64523-2021</t>
        </is>
      </c>
      <c r="B781" s="1" t="n">
        <v>44511</v>
      </c>
      <c r="C781" s="1" t="n">
        <v>45952</v>
      </c>
      <c r="D781" t="inlineStr">
        <is>
          <t>ÖREBRO LÄN</t>
        </is>
      </c>
      <c r="E781" t="inlineStr">
        <is>
          <t>ÖREBRO</t>
        </is>
      </c>
      <c r="G781" t="n">
        <v>1.2</v>
      </c>
      <c r="H781" t="n">
        <v>0</v>
      </c>
      <c r="I781" t="n">
        <v>0</v>
      </c>
      <c r="J781" t="n">
        <v>0</v>
      </c>
      <c r="K781" t="n">
        <v>0</v>
      </c>
      <c r="L781" t="n">
        <v>0</v>
      </c>
      <c r="M781" t="n">
        <v>0</v>
      </c>
      <c r="N781" t="n">
        <v>0</v>
      </c>
      <c r="O781" t="n">
        <v>0</v>
      </c>
      <c r="P781" t="n">
        <v>0</v>
      </c>
      <c r="Q781" t="n">
        <v>0</v>
      </c>
      <c r="R781" s="2" t="inlineStr"/>
    </row>
    <row r="782" ht="15" customHeight="1">
      <c r="A782" t="inlineStr">
        <is>
          <t>A 22970-2021</t>
        </is>
      </c>
      <c r="B782" s="1" t="n">
        <v>44328</v>
      </c>
      <c r="C782" s="1" t="n">
        <v>45952</v>
      </c>
      <c r="D782" t="inlineStr">
        <is>
          <t>ÖREBRO LÄN</t>
        </is>
      </c>
      <c r="E782" t="inlineStr">
        <is>
          <t>LAXÅ</t>
        </is>
      </c>
      <c r="G782" t="n">
        <v>0.6</v>
      </c>
      <c r="H782" t="n">
        <v>0</v>
      </c>
      <c r="I782" t="n">
        <v>0</v>
      </c>
      <c r="J782" t="n">
        <v>0</v>
      </c>
      <c r="K782" t="n">
        <v>0</v>
      </c>
      <c r="L782" t="n">
        <v>0</v>
      </c>
      <c r="M782" t="n">
        <v>0</v>
      </c>
      <c r="N782" t="n">
        <v>0</v>
      </c>
      <c r="O782" t="n">
        <v>0</v>
      </c>
      <c r="P782" t="n">
        <v>0</v>
      </c>
      <c r="Q782" t="n">
        <v>0</v>
      </c>
      <c r="R782" s="2" t="inlineStr"/>
    </row>
    <row r="783" ht="15" customHeight="1">
      <c r="A783" t="inlineStr">
        <is>
          <t>A 63071-2021</t>
        </is>
      </c>
      <c r="B783" s="1" t="n">
        <v>44505</v>
      </c>
      <c r="C783" s="1" t="n">
        <v>45952</v>
      </c>
      <c r="D783" t="inlineStr">
        <is>
          <t>ÖREBRO LÄN</t>
        </is>
      </c>
      <c r="E783" t="inlineStr">
        <is>
          <t>LINDESBERG</t>
        </is>
      </c>
      <c r="G783" t="n">
        <v>0.9</v>
      </c>
      <c r="H783" t="n">
        <v>0</v>
      </c>
      <c r="I783" t="n">
        <v>0</v>
      </c>
      <c r="J783" t="n">
        <v>0</v>
      </c>
      <c r="K783" t="n">
        <v>0</v>
      </c>
      <c r="L783" t="n">
        <v>0</v>
      </c>
      <c r="M783" t="n">
        <v>0</v>
      </c>
      <c r="N783" t="n">
        <v>0</v>
      </c>
      <c r="O783" t="n">
        <v>0</v>
      </c>
      <c r="P783" t="n">
        <v>0</v>
      </c>
      <c r="Q783" t="n">
        <v>0</v>
      </c>
      <c r="R783" s="2" t="inlineStr"/>
    </row>
    <row r="784" ht="15" customHeight="1">
      <c r="A784" t="inlineStr">
        <is>
          <t>A 51227-2021</t>
        </is>
      </c>
      <c r="B784" s="1" t="n">
        <v>44461.51197916667</v>
      </c>
      <c r="C784" s="1" t="n">
        <v>45952</v>
      </c>
      <c r="D784" t="inlineStr">
        <is>
          <t>ÖREBRO LÄN</t>
        </is>
      </c>
      <c r="E784" t="inlineStr">
        <is>
          <t>ASKERSUND</t>
        </is>
      </c>
      <c r="F784" t="inlineStr">
        <is>
          <t>Sveaskog</t>
        </is>
      </c>
      <c r="G784" t="n">
        <v>1.9</v>
      </c>
      <c r="H784" t="n">
        <v>0</v>
      </c>
      <c r="I784" t="n">
        <v>0</v>
      </c>
      <c r="J784" t="n">
        <v>0</v>
      </c>
      <c r="K784" t="n">
        <v>0</v>
      </c>
      <c r="L784" t="n">
        <v>0</v>
      </c>
      <c r="M784" t="n">
        <v>0</v>
      </c>
      <c r="N784" t="n">
        <v>0</v>
      </c>
      <c r="O784" t="n">
        <v>0</v>
      </c>
      <c r="P784" t="n">
        <v>0</v>
      </c>
      <c r="Q784" t="n">
        <v>0</v>
      </c>
      <c r="R784" s="2" t="inlineStr"/>
    </row>
    <row r="785" ht="15" customHeight="1">
      <c r="A785" t="inlineStr">
        <is>
          <t>A 67814-2020</t>
        </is>
      </c>
      <c r="B785" s="1" t="n">
        <v>44182</v>
      </c>
      <c r="C785" s="1" t="n">
        <v>45952</v>
      </c>
      <c r="D785" t="inlineStr">
        <is>
          <t>ÖREBRO LÄN</t>
        </is>
      </c>
      <c r="E785" t="inlineStr">
        <is>
          <t>LAXÅ</t>
        </is>
      </c>
      <c r="F785" t="inlineStr">
        <is>
          <t>Sveaskog</t>
        </is>
      </c>
      <c r="G785" t="n">
        <v>2.4</v>
      </c>
      <c r="H785" t="n">
        <v>0</v>
      </c>
      <c r="I785" t="n">
        <v>0</v>
      </c>
      <c r="J785" t="n">
        <v>0</v>
      </c>
      <c r="K785" t="n">
        <v>0</v>
      </c>
      <c r="L785" t="n">
        <v>0</v>
      </c>
      <c r="M785" t="n">
        <v>0</v>
      </c>
      <c r="N785" t="n">
        <v>0</v>
      </c>
      <c r="O785" t="n">
        <v>0</v>
      </c>
      <c r="P785" t="n">
        <v>0</v>
      </c>
      <c r="Q785" t="n">
        <v>0</v>
      </c>
      <c r="R785" s="2" t="inlineStr"/>
    </row>
    <row r="786" ht="15" customHeight="1">
      <c r="A786" t="inlineStr">
        <is>
          <t>A 67869-2020</t>
        </is>
      </c>
      <c r="B786" s="1" t="n">
        <v>44182</v>
      </c>
      <c r="C786" s="1" t="n">
        <v>45952</v>
      </c>
      <c r="D786" t="inlineStr">
        <is>
          <t>ÖREBRO LÄN</t>
        </is>
      </c>
      <c r="E786" t="inlineStr">
        <is>
          <t>LAXÅ</t>
        </is>
      </c>
      <c r="F786" t="inlineStr">
        <is>
          <t>Sveaskog</t>
        </is>
      </c>
      <c r="G786" t="n">
        <v>1.1</v>
      </c>
      <c r="H786" t="n">
        <v>0</v>
      </c>
      <c r="I786" t="n">
        <v>0</v>
      </c>
      <c r="J786" t="n">
        <v>0</v>
      </c>
      <c r="K786" t="n">
        <v>0</v>
      </c>
      <c r="L786" t="n">
        <v>0</v>
      </c>
      <c r="M786" t="n">
        <v>0</v>
      </c>
      <c r="N786" t="n">
        <v>0</v>
      </c>
      <c r="O786" t="n">
        <v>0</v>
      </c>
      <c r="P786" t="n">
        <v>0</v>
      </c>
      <c r="Q786" t="n">
        <v>0</v>
      </c>
      <c r="R786" s="2" t="inlineStr"/>
    </row>
    <row r="787" ht="15" customHeight="1">
      <c r="A787" t="inlineStr">
        <is>
          <t>A 60150-2020</t>
        </is>
      </c>
      <c r="B787" s="1" t="n">
        <v>44152</v>
      </c>
      <c r="C787" s="1" t="n">
        <v>45952</v>
      </c>
      <c r="D787" t="inlineStr">
        <is>
          <t>ÖREBRO LÄN</t>
        </is>
      </c>
      <c r="E787" t="inlineStr">
        <is>
          <t>ÖREBRO</t>
        </is>
      </c>
      <c r="G787" t="n">
        <v>1.6</v>
      </c>
      <c r="H787" t="n">
        <v>0</v>
      </c>
      <c r="I787" t="n">
        <v>0</v>
      </c>
      <c r="J787" t="n">
        <v>0</v>
      </c>
      <c r="K787" t="n">
        <v>0</v>
      </c>
      <c r="L787" t="n">
        <v>0</v>
      </c>
      <c r="M787" t="n">
        <v>0</v>
      </c>
      <c r="N787" t="n">
        <v>0</v>
      </c>
      <c r="O787" t="n">
        <v>0</v>
      </c>
      <c r="P787" t="n">
        <v>0</v>
      </c>
      <c r="Q787" t="n">
        <v>0</v>
      </c>
      <c r="R787" s="2" t="inlineStr"/>
    </row>
    <row r="788" ht="15" customHeight="1">
      <c r="A788" t="inlineStr">
        <is>
          <t>A 59182-2021</t>
        </is>
      </c>
      <c r="B788" s="1" t="n">
        <v>44490</v>
      </c>
      <c r="C788" s="1" t="n">
        <v>45952</v>
      </c>
      <c r="D788" t="inlineStr">
        <is>
          <t>ÖREBRO LÄN</t>
        </is>
      </c>
      <c r="E788" t="inlineStr">
        <is>
          <t>LINDESBERG</t>
        </is>
      </c>
      <c r="G788" t="n">
        <v>1.4</v>
      </c>
      <c r="H788" t="n">
        <v>0</v>
      </c>
      <c r="I788" t="n">
        <v>0</v>
      </c>
      <c r="J788" t="n">
        <v>0</v>
      </c>
      <c r="K788" t="n">
        <v>0</v>
      </c>
      <c r="L788" t="n">
        <v>0</v>
      </c>
      <c r="M788" t="n">
        <v>0</v>
      </c>
      <c r="N788" t="n">
        <v>0</v>
      </c>
      <c r="O788" t="n">
        <v>0</v>
      </c>
      <c r="P788" t="n">
        <v>0</v>
      </c>
      <c r="Q788" t="n">
        <v>0</v>
      </c>
      <c r="R788" s="2" t="inlineStr"/>
    </row>
    <row r="789" ht="15" customHeight="1">
      <c r="A789" t="inlineStr">
        <is>
          <t>A 34460-2021</t>
        </is>
      </c>
      <c r="B789" s="1" t="n">
        <v>44381</v>
      </c>
      <c r="C789" s="1" t="n">
        <v>45952</v>
      </c>
      <c r="D789" t="inlineStr">
        <is>
          <t>ÖREBRO LÄN</t>
        </is>
      </c>
      <c r="E789" t="inlineStr">
        <is>
          <t>KARLSKOGA</t>
        </is>
      </c>
      <c r="G789" t="n">
        <v>3.4</v>
      </c>
      <c r="H789" t="n">
        <v>0</v>
      </c>
      <c r="I789" t="n">
        <v>0</v>
      </c>
      <c r="J789" t="n">
        <v>0</v>
      </c>
      <c r="K789" t="n">
        <v>0</v>
      </c>
      <c r="L789" t="n">
        <v>0</v>
      </c>
      <c r="M789" t="n">
        <v>0</v>
      </c>
      <c r="N789" t="n">
        <v>0</v>
      </c>
      <c r="O789" t="n">
        <v>0</v>
      </c>
      <c r="P789" t="n">
        <v>0</v>
      </c>
      <c r="Q789" t="n">
        <v>0</v>
      </c>
      <c r="R789" s="2" t="inlineStr"/>
    </row>
    <row r="790" ht="15" customHeight="1">
      <c r="A790" t="inlineStr">
        <is>
          <t>A 28657-2021</t>
        </is>
      </c>
      <c r="B790" s="1" t="n">
        <v>44357</v>
      </c>
      <c r="C790" s="1" t="n">
        <v>45952</v>
      </c>
      <c r="D790" t="inlineStr">
        <is>
          <t>ÖREBRO LÄN</t>
        </is>
      </c>
      <c r="E790" t="inlineStr">
        <is>
          <t>HÄLLEFORS</t>
        </is>
      </c>
      <c r="F790" t="inlineStr">
        <is>
          <t>Bergvik skog väst AB</t>
        </is>
      </c>
      <c r="G790" t="n">
        <v>0.9</v>
      </c>
      <c r="H790" t="n">
        <v>0</v>
      </c>
      <c r="I790" t="n">
        <v>0</v>
      </c>
      <c r="J790" t="n">
        <v>0</v>
      </c>
      <c r="K790" t="n">
        <v>0</v>
      </c>
      <c r="L790" t="n">
        <v>0</v>
      </c>
      <c r="M790" t="n">
        <v>0</v>
      </c>
      <c r="N790" t="n">
        <v>0</v>
      </c>
      <c r="O790" t="n">
        <v>0</v>
      </c>
      <c r="P790" t="n">
        <v>0</v>
      </c>
      <c r="Q790" t="n">
        <v>0</v>
      </c>
      <c r="R790" s="2" t="inlineStr"/>
    </row>
    <row r="791" ht="15" customHeight="1">
      <c r="A791" t="inlineStr">
        <is>
          <t>A 30078-2021</t>
        </is>
      </c>
      <c r="B791" s="1" t="n">
        <v>44363</v>
      </c>
      <c r="C791" s="1" t="n">
        <v>45952</v>
      </c>
      <c r="D791" t="inlineStr">
        <is>
          <t>ÖREBRO LÄN</t>
        </is>
      </c>
      <c r="E791" t="inlineStr">
        <is>
          <t>LAXÅ</t>
        </is>
      </c>
      <c r="G791" t="n">
        <v>6.4</v>
      </c>
      <c r="H791" t="n">
        <v>0</v>
      </c>
      <c r="I791" t="n">
        <v>0</v>
      </c>
      <c r="J791" t="n">
        <v>0</v>
      </c>
      <c r="K791" t="n">
        <v>0</v>
      </c>
      <c r="L791" t="n">
        <v>0</v>
      </c>
      <c r="M791" t="n">
        <v>0</v>
      </c>
      <c r="N791" t="n">
        <v>0</v>
      </c>
      <c r="O791" t="n">
        <v>0</v>
      </c>
      <c r="P791" t="n">
        <v>0</v>
      </c>
      <c r="Q791" t="n">
        <v>0</v>
      </c>
      <c r="R791" s="2" t="inlineStr"/>
    </row>
    <row r="792" ht="15" customHeight="1">
      <c r="A792" t="inlineStr">
        <is>
          <t>A 38271-2021</t>
        </is>
      </c>
      <c r="B792" s="1" t="n">
        <v>44405</v>
      </c>
      <c r="C792" s="1" t="n">
        <v>45952</v>
      </c>
      <c r="D792" t="inlineStr">
        <is>
          <t>ÖREBRO LÄN</t>
        </is>
      </c>
      <c r="E792" t="inlineStr">
        <is>
          <t>ASKERSUND</t>
        </is>
      </c>
      <c r="G792" t="n">
        <v>1.1</v>
      </c>
      <c r="H792" t="n">
        <v>0</v>
      </c>
      <c r="I792" t="n">
        <v>0</v>
      </c>
      <c r="J792" t="n">
        <v>0</v>
      </c>
      <c r="K792" t="n">
        <v>0</v>
      </c>
      <c r="L792" t="n">
        <v>0</v>
      </c>
      <c r="M792" t="n">
        <v>0</v>
      </c>
      <c r="N792" t="n">
        <v>0</v>
      </c>
      <c r="O792" t="n">
        <v>0</v>
      </c>
      <c r="P792" t="n">
        <v>0</v>
      </c>
      <c r="Q792" t="n">
        <v>0</v>
      </c>
      <c r="R792" s="2" t="inlineStr"/>
    </row>
    <row r="793" ht="15" customHeight="1">
      <c r="A793" t="inlineStr">
        <is>
          <t>A 11271-2022</t>
        </is>
      </c>
      <c r="B793" s="1" t="n">
        <v>44629</v>
      </c>
      <c r="C793" s="1" t="n">
        <v>45952</v>
      </c>
      <c r="D793" t="inlineStr">
        <is>
          <t>ÖREBRO LÄN</t>
        </is>
      </c>
      <c r="E793" t="inlineStr">
        <is>
          <t>LINDESBERG</t>
        </is>
      </c>
      <c r="G793" t="n">
        <v>7.8</v>
      </c>
      <c r="H793" t="n">
        <v>0</v>
      </c>
      <c r="I793" t="n">
        <v>0</v>
      </c>
      <c r="J793" t="n">
        <v>0</v>
      </c>
      <c r="K793" t="n">
        <v>0</v>
      </c>
      <c r="L793" t="n">
        <v>0</v>
      </c>
      <c r="M793" t="n">
        <v>0</v>
      </c>
      <c r="N793" t="n">
        <v>0</v>
      </c>
      <c r="O793" t="n">
        <v>0</v>
      </c>
      <c r="P793" t="n">
        <v>0</v>
      </c>
      <c r="Q793" t="n">
        <v>0</v>
      </c>
      <c r="R793" s="2" t="inlineStr"/>
    </row>
    <row r="794" ht="15" customHeight="1">
      <c r="A794" t="inlineStr">
        <is>
          <t>A 34668-2021</t>
        </is>
      </c>
      <c r="B794" s="1" t="n">
        <v>44382</v>
      </c>
      <c r="C794" s="1" t="n">
        <v>45952</v>
      </c>
      <c r="D794" t="inlineStr">
        <is>
          <t>ÖREBRO LÄN</t>
        </is>
      </c>
      <c r="E794" t="inlineStr">
        <is>
          <t>LAXÅ</t>
        </is>
      </c>
      <c r="G794" t="n">
        <v>1</v>
      </c>
      <c r="H794" t="n">
        <v>0</v>
      </c>
      <c r="I794" t="n">
        <v>0</v>
      </c>
      <c r="J794" t="n">
        <v>0</v>
      </c>
      <c r="K794" t="n">
        <v>0</v>
      </c>
      <c r="L794" t="n">
        <v>0</v>
      </c>
      <c r="M794" t="n">
        <v>0</v>
      </c>
      <c r="N794" t="n">
        <v>0</v>
      </c>
      <c r="O794" t="n">
        <v>0</v>
      </c>
      <c r="P794" t="n">
        <v>0</v>
      </c>
      <c r="Q794" t="n">
        <v>0</v>
      </c>
      <c r="R794" s="2" t="inlineStr"/>
    </row>
    <row r="795" ht="15" customHeight="1">
      <c r="A795" t="inlineStr">
        <is>
          <t>A 28870-2021</t>
        </is>
      </c>
      <c r="B795" s="1" t="n">
        <v>44357.75265046296</v>
      </c>
      <c r="C795" s="1" t="n">
        <v>45952</v>
      </c>
      <c r="D795" t="inlineStr">
        <is>
          <t>ÖREBRO LÄN</t>
        </is>
      </c>
      <c r="E795" t="inlineStr">
        <is>
          <t>ÖREBRO</t>
        </is>
      </c>
      <c r="F795" t="inlineStr">
        <is>
          <t>Övriga Aktiebolag</t>
        </is>
      </c>
      <c r="G795" t="n">
        <v>2.4</v>
      </c>
      <c r="H795" t="n">
        <v>0</v>
      </c>
      <c r="I795" t="n">
        <v>0</v>
      </c>
      <c r="J795" t="n">
        <v>0</v>
      </c>
      <c r="K795" t="n">
        <v>0</v>
      </c>
      <c r="L795" t="n">
        <v>0</v>
      </c>
      <c r="M795" t="n">
        <v>0</v>
      </c>
      <c r="N795" t="n">
        <v>0</v>
      </c>
      <c r="O795" t="n">
        <v>0</v>
      </c>
      <c r="P795" t="n">
        <v>0</v>
      </c>
      <c r="Q795" t="n">
        <v>0</v>
      </c>
      <c r="R795" s="2" t="inlineStr"/>
    </row>
    <row r="796" ht="15" customHeight="1">
      <c r="A796" t="inlineStr">
        <is>
          <t>A 67879-2020</t>
        </is>
      </c>
      <c r="B796" s="1" t="n">
        <v>44182</v>
      </c>
      <c r="C796" s="1" t="n">
        <v>45952</v>
      </c>
      <c r="D796" t="inlineStr">
        <is>
          <t>ÖREBRO LÄN</t>
        </is>
      </c>
      <c r="E796" t="inlineStr">
        <is>
          <t>LAXÅ</t>
        </is>
      </c>
      <c r="F796" t="inlineStr">
        <is>
          <t>Sveaskog</t>
        </is>
      </c>
      <c r="G796" t="n">
        <v>2.1</v>
      </c>
      <c r="H796" t="n">
        <v>0</v>
      </c>
      <c r="I796" t="n">
        <v>0</v>
      </c>
      <c r="J796" t="n">
        <v>0</v>
      </c>
      <c r="K796" t="n">
        <v>0</v>
      </c>
      <c r="L796" t="n">
        <v>0</v>
      </c>
      <c r="M796" t="n">
        <v>0</v>
      </c>
      <c r="N796" t="n">
        <v>0</v>
      </c>
      <c r="O796" t="n">
        <v>0</v>
      </c>
      <c r="P796" t="n">
        <v>0</v>
      </c>
      <c r="Q796" t="n">
        <v>0</v>
      </c>
      <c r="R796" s="2" t="inlineStr"/>
    </row>
    <row r="797" ht="15" customHeight="1">
      <c r="A797" t="inlineStr">
        <is>
          <t>A 67895-2020</t>
        </is>
      </c>
      <c r="B797" s="1" t="n">
        <v>44182</v>
      </c>
      <c r="C797" s="1" t="n">
        <v>45952</v>
      </c>
      <c r="D797" t="inlineStr">
        <is>
          <t>ÖREBRO LÄN</t>
        </is>
      </c>
      <c r="E797" t="inlineStr">
        <is>
          <t>LAXÅ</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67919-2020</t>
        </is>
      </c>
      <c r="B798" s="1" t="n">
        <v>44182</v>
      </c>
      <c r="C798" s="1" t="n">
        <v>45952</v>
      </c>
      <c r="D798" t="inlineStr">
        <is>
          <t>ÖREBRO LÄN</t>
        </is>
      </c>
      <c r="E798" t="inlineStr">
        <is>
          <t>LAXÅ</t>
        </is>
      </c>
      <c r="F798" t="inlineStr">
        <is>
          <t>Sveaskog</t>
        </is>
      </c>
      <c r="G798" t="n">
        <v>0.8</v>
      </c>
      <c r="H798" t="n">
        <v>0</v>
      </c>
      <c r="I798" t="n">
        <v>0</v>
      </c>
      <c r="J798" t="n">
        <v>0</v>
      </c>
      <c r="K798" t="n">
        <v>0</v>
      </c>
      <c r="L798" t="n">
        <v>0</v>
      </c>
      <c r="M798" t="n">
        <v>0</v>
      </c>
      <c r="N798" t="n">
        <v>0</v>
      </c>
      <c r="O798" t="n">
        <v>0</v>
      </c>
      <c r="P798" t="n">
        <v>0</v>
      </c>
      <c r="Q798" t="n">
        <v>0</v>
      </c>
      <c r="R798" s="2" t="inlineStr"/>
    </row>
    <row r="799" ht="15" customHeight="1">
      <c r="A799" t="inlineStr">
        <is>
          <t>A 41580-2021</t>
        </is>
      </c>
      <c r="B799" s="1" t="n">
        <v>44425.40128472223</v>
      </c>
      <c r="C799" s="1" t="n">
        <v>45952</v>
      </c>
      <c r="D799" t="inlineStr">
        <is>
          <t>ÖREBRO LÄN</t>
        </is>
      </c>
      <c r="E799" t="inlineStr">
        <is>
          <t>LINDESBERG</t>
        </is>
      </c>
      <c r="F799" t="inlineStr">
        <is>
          <t>Sveaskog</t>
        </is>
      </c>
      <c r="G799" t="n">
        <v>1.6</v>
      </c>
      <c r="H799" t="n">
        <v>0</v>
      </c>
      <c r="I799" t="n">
        <v>0</v>
      </c>
      <c r="J799" t="n">
        <v>0</v>
      </c>
      <c r="K799" t="n">
        <v>0</v>
      </c>
      <c r="L799" t="n">
        <v>0</v>
      </c>
      <c r="M799" t="n">
        <v>0</v>
      </c>
      <c r="N799" t="n">
        <v>0</v>
      </c>
      <c r="O799" t="n">
        <v>0</v>
      </c>
      <c r="P799" t="n">
        <v>0</v>
      </c>
      <c r="Q799" t="n">
        <v>0</v>
      </c>
      <c r="R799" s="2" t="inlineStr"/>
    </row>
    <row r="800" ht="15" customHeight="1">
      <c r="A800" t="inlineStr">
        <is>
          <t>A 40404-2021</t>
        </is>
      </c>
      <c r="B800" s="1" t="n">
        <v>44419</v>
      </c>
      <c r="C800" s="1" t="n">
        <v>45952</v>
      </c>
      <c r="D800" t="inlineStr">
        <is>
          <t>ÖREBRO LÄN</t>
        </is>
      </c>
      <c r="E800" t="inlineStr">
        <is>
          <t>ASKERSUND</t>
        </is>
      </c>
      <c r="F800" t="inlineStr">
        <is>
          <t>Sveaskog</t>
        </is>
      </c>
      <c r="G800" t="n">
        <v>1.3</v>
      </c>
      <c r="H800" t="n">
        <v>0</v>
      </c>
      <c r="I800" t="n">
        <v>0</v>
      </c>
      <c r="J800" t="n">
        <v>0</v>
      </c>
      <c r="K800" t="n">
        <v>0</v>
      </c>
      <c r="L800" t="n">
        <v>0</v>
      </c>
      <c r="M800" t="n">
        <v>0</v>
      </c>
      <c r="N800" t="n">
        <v>0</v>
      </c>
      <c r="O800" t="n">
        <v>0</v>
      </c>
      <c r="P800" t="n">
        <v>0</v>
      </c>
      <c r="Q800" t="n">
        <v>0</v>
      </c>
      <c r="R800" s="2" t="inlineStr"/>
    </row>
    <row r="801" ht="15" customHeight="1">
      <c r="A801" t="inlineStr">
        <is>
          <t>A 39466-2021</t>
        </is>
      </c>
      <c r="B801" s="1" t="n">
        <v>44414.60469907407</v>
      </c>
      <c r="C801" s="1" t="n">
        <v>45952</v>
      </c>
      <c r="D801" t="inlineStr">
        <is>
          <t>ÖREBRO LÄN</t>
        </is>
      </c>
      <c r="E801" t="inlineStr">
        <is>
          <t>HALLSBERG</t>
        </is>
      </c>
      <c r="G801" t="n">
        <v>2.8</v>
      </c>
      <c r="H801" t="n">
        <v>0</v>
      </c>
      <c r="I801" t="n">
        <v>0</v>
      </c>
      <c r="J801" t="n">
        <v>0</v>
      </c>
      <c r="K801" t="n">
        <v>0</v>
      </c>
      <c r="L801" t="n">
        <v>0</v>
      </c>
      <c r="M801" t="n">
        <v>0</v>
      </c>
      <c r="N801" t="n">
        <v>0</v>
      </c>
      <c r="O801" t="n">
        <v>0</v>
      </c>
      <c r="P801" t="n">
        <v>0</v>
      </c>
      <c r="Q801" t="n">
        <v>0</v>
      </c>
      <c r="R801" s="2" t="inlineStr"/>
    </row>
    <row r="802" ht="15" customHeight="1">
      <c r="A802" t="inlineStr">
        <is>
          <t>A 16123-2022</t>
        </is>
      </c>
      <c r="B802" s="1" t="n">
        <v>44665</v>
      </c>
      <c r="C802" s="1" t="n">
        <v>45952</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50498-2021</t>
        </is>
      </c>
      <c r="B803" s="1" t="n">
        <v>44459.57613425926</v>
      </c>
      <c r="C803" s="1" t="n">
        <v>45952</v>
      </c>
      <c r="D803" t="inlineStr">
        <is>
          <t>ÖREBRO LÄN</t>
        </is>
      </c>
      <c r="E803" t="inlineStr">
        <is>
          <t>LINDESBERG</t>
        </is>
      </c>
      <c r="G803" t="n">
        <v>1.1</v>
      </c>
      <c r="H803" t="n">
        <v>0</v>
      </c>
      <c r="I803" t="n">
        <v>0</v>
      </c>
      <c r="J803" t="n">
        <v>0</v>
      </c>
      <c r="K803" t="n">
        <v>0</v>
      </c>
      <c r="L803" t="n">
        <v>0</v>
      </c>
      <c r="M803" t="n">
        <v>0</v>
      </c>
      <c r="N803" t="n">
        <v>0</v>
      </c>
      <c r="O803" t="n">
        <v>0</v>
      </c>
      <c r="P803" t="n">
        <v>0</v>
      </c>
      <c r="Q803" t="n">
        <v>0</v>
      </c>
      <c r="R803" s="2" t="inlineStr"/>
    </row>
    <row r="804" ht="15" customHeight="1">
      <c r="A804" t="inlineStr">
        <is>
          <t>A 42395-2021</t>
        </is>
      </c>
      <c r="B804" s="1" t="n">
        <v>44427</v>
      </c>
      <c r="C804" s="1" t="n">
        <v>45952</v>
      </c>
      <c r="D804" t="inlineStr">
        <is>
          <t>ÖREBRO LÄN</t>
        </is>
      </c>
      <c r="E804" t="inlineStr">
        <is>
          <t>LAXÅ</t>
        </is>
      </c>
      <c r="G804" t="n">
        <v>1.8</v>
      </c>
      <c r="H804" t="n">
        <v>0</v>
      </c>
      <c r="I804" t="n">
        <v>0</v>
      </c>
      <c r="J804" t="n">
        <v>0</v>
      </c>
      <c r="K804" t="n">
        <v>0</v>
      </c>
      <c r="L804" t="n">
        <v>0</v>
      </c>
      <c r="M804" t="n">
        <v>0</v>
      </c>
      <c r="N804" t="n">
        <v>0</v>
      </c>
      <c r="O804" t="n">
        <v>0</v>
      </c>
      <c r="P804" t="n">
        <v>0</v>
      </c>
      <c r="Q804" t="n">
        <v>0</v>
      </c>
      <c r="R804" s="2" t="inlineStr"/>
    </row>
    <row r="805" ht="15" customHeight="1">
      <c r="A805" t="inlineStr">
        <is>
          <t>A 47425-2021</t>
        </is>
      </c>
      <c r="B805" s="1" t="n">
        <v>44447</v>
      </c>
      <c r="C805" s="1" t="n">
        <v>45952</v>
      </c>
      <c r="D805" t="inlineStr">
        <is>
          <t>ÖREBRO LÄN</t>
        </is>
      </c>
      <c r="E805" t="inlineStr">
        <is>
          <t>LINDESBERG</t>
        </is>
      </c>
      <c r="G805" t="n">
        <v>0.4</v>
      </c>
      <c r="H805" t="n">
        <v>0</v>
      </c>
      <c r="I805" t="n">
        <v>0</v>
      </c>
      <c r="J805" t="n">
        <v>0</v>
      </c>
      <c r="K805" t="n">
        <v>0</v>
      </c>
      <c r="L805" t="n">
        <v>0</v>
      </c>
      <c r="M805" t="n">
        <v>0</v>
      </c>
      <c r="N805" t="n">
        <v>0</v>
      </c>
      <c r="O805" t="n">
        <v>0</v>
      </c>
      <c r="P805" t="n">
        <v>0</v>
      </c>
      <c r="Q805" t="n">
        <v>0</v>
      </c>
      <c r="R805" s="2" t="inlineStr"/>
    </row>
    <row r="806" ht="15" customHeight="1">
      <c r="A806" t="inlineStr">
        <is>
          <t>A 64869-2021</t>
        </is>
      </c>
      <c r="B806" s="1" t="n">
        <v>44512.60798611111</v>
      </c>
      <c r="C806" s="1" t="n">
        <v>45952</v>
      </c>
      <c r="D806" t="inlineStr">
        <is>
          <t>ÖREBRO LÄN</t>
        </is>
      </c>
      <c r="E806" t="inlineStr">
        <is>
          <t>KARLSKOGA</t>
        </is>
      </c>
      <c r="F806" t="inlineStr">
        <is>
          <t>Sveaskog</t>
        </is>
      </c>
      <c r="G806" t="n">
        <v>3.6</v>
      </c>
      <c r="H806" t="n">
        <v>0</v>
      </c>
      <c r="I806" t="n">
        <v>0</v>
      </c>
      <c r="J806" t="n">
        <v>0</v>
      </c>
      <c r="K806" t="n">
        <v>0</v>
      </c>
      <c r="L806" t="n">
        <v>0</v>
      </c>
      <c r="M806" t="n">
        <v>0</v>
      </c>
      <c r="N806" t="n">
        <v>0</v>
      </c>
      <c r="O806" t="n">
        <v>0</v>
      </c>
      <c r="P806" t="n">
        <v>0</v>
      </c>
      <c r="Q806" t="n">
        <v>0</v>
      </c>
      <c r="R806" s="2" t="inlineStr"/>
    </row>
    <row r="807" ht="15" customHeight="1">
      <c r="A807" t="inlineStr">
        <is>
          <t>A 10019-2022</t>
        </is>
      </c>
      <c r="B807" s="1" t="n">
        <v>44621</v>
      </c>
      <c r="C807" s="1" t="n">
        <v>45952</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18636-2022</t>
        </is>
      </c>
      <c r="B808" s="1" t="n">
        <v>44687.4733912037</v>
      </c>
      <c r="C808" s="1" t="n">
        <v>45952</v>
      </c>
      <c r="D808" t="inlineStr">
        <is>
          <t>ÖREBRO LÄN</t>
        </is>
      </c>
      <c r="E808" t="inlineStr">
        <is>
          <t>NORA</t>
        </is>
      </c>
      <c r="G808" t="n">
        <v>1.3</v>
      </c>
      <c r="H808" t="n">
        <v>0</v>
      </c>
      <c r="I808" t="n">
        <v>0</v>
      </c>
      <c r="J808" t="n">
        <v>0</v>
      </c>
      <c r="K808" t="n">
        <v>0</v>
      </c>
      <c r="L808" t="n">
        <v>0</v>
      </c>
      <c r="M808" t="n">
        <v>0</v>
      </c>
      <c r="N808" t="n">
        <v>0</v>
      </c>
      <c r="O808" t="n">
        <v>0</v>
      </c>
      <c r="P808" t="n">
        <v>0</v>
      </c>
      <c r="Q808" t="n">
        <v>0</v>
      </c>
      <c r="R808" s="2" t="inlineStr"/>
    </row>
    <row r="809" ht="15" customHeight="1">
      <c r="A809" t="inlineStr">
        <is>
          <t>A 41252-2021</t>
        </is>
      </c>
      <c r="B809" s="1" t="n">
        <v>44424</v>
      </c>
      <c r="C809" s="1" t="n">
        <v>45952</v>
      </c>
      <c r="D809" t="inlineStr">
        <is>
          <t>ÖREBRO LÄN</t>
        </is>
      </c>
      <c r="E809" t="inlineStr">
        <is>
          <t>ASKERSUND</t>
        </is>
      </c>
      <c r="G809" t="n">
        <v>2</v>
      </c>
      <c r="H809" t="n">
        <v>0</v>
      </c>
      <c r="I809" t="n">
        <v>0</v>
      </c>
      <c r="J809" t="n">
        <v>0</v>
      </c>
      <c r="K809" t="n">
        <v>0</v>
      </c>
      <c r="L809" t="n">
        <v>0</v>
      </c>
      <c r="M809" t="n">
        <v>0</v>
      </c>
      <c r="N809" t="n">
        <v>0</v>
      </c>
      <c r="O809" t="n">
        <v>0</v>
      </c>
      <c r="P809" t="n">
        <v>0</v>
      </c>
      <c r="Q809" t="n">
        <v>0</v>
      </c>
      <c r="R809" s="2" t="inlineStr"/>
    </row>
    <row r="810" ht="15" customHeight="1">
      <c r="A810" t="inlineStr">
        <is>
          <t>A 22861-2022</t>
        </is>
      </c>
      <c r="B810" s="1" t="n">
        <v>44715.48209490741</v>
      </c>
      <c r="C810" s="1" t="n">
        <v>45952</v>
      </c>
      <c r="D810" t="inlineStr">
        <is>
          <t>ÖREBRO LÄN</t>
        </is>
      </c>
      <c r="E810" t="inlineStr">
        <is>
          <t>KARLSKOGA</t>
        </is>
      </c>
      <c r="G810" t="n">
        <v>0.6</v>
      </c>
      <c r="H810" t="n">
        <v>0</v>
      </c>
      <c r="I810" t="n">
        <v>0</v>
      </c>
      <c r="J810" t="n">
        <v>0</v>
      </c>
      <c r="K810" t="n">
        <v>0</v>
      </c>
      <c r="L810" t="n">
        <v>0</v>
      </c>
      <c r="M810" t="n">
        <v>0</v>
      </c>
      <c r="N810" t="n">
        <v>0</v>
      </c>
      <c r="O810" t="n">
        <v>0</v>
      </c>
      <c r="P810" t="n">
        <v>0</v>
      </c>
      <c r="Q810" t="n">
        <v>0</v>
      </c>
      <c r="R810" s="2" t="inlineStr"/>
    </row>
    <row r="811" ht="15" customHeight="1">
      <c r="A811" t="inlineStr">
        <is>
          <t>A 41977-2022</t>
        </is>
      </c>
      <c r="B811" s="1" t="n">
        <v>44830</v>
      </c>
      <c r="C811" s="1" t="n">
        <v>45952</v>
      </c>
      <c r="D811" t="inlineStr">
        <is>
          <t>ÖREBRO LÄN</t>
        </is>
      </c>
      <c r="E811" t="inlineStr">
        <is>
          <t>LEKEBERG</t>
        </is>
      </c>
      <c r="F811" t="inlineStr">
        <is>
          <t>Sveaskog</t>
        </is>
      </c>
      <c r="G811" t="n">
        <v>0.9</v>
      </c>
      <c r="H811" t="n">
        <v>0</v>
      </c>
      <c r="I811" t="n">
        <v>0</v>
      </c>
      <c r="J811" t="n">
        <v>0</v>
      </c>
      <c r="K811" t="n">
        <v>0</v>
      </c>
      <c r="L811" t="n">
        <v>0</v>
      </c>
      <c r="M811" t="n">
        <v>0</v>
      </c>
      <c r="N811" t="n">
        <v>0</v>
      </c>
      <c r="O811" t="n">
        <v>0</v>
      </c>
      <c r="P811" t="n">
        <v>0</v>
      </c>
      <c r="Q811" t="n">
        <v>0</v>
      </c>
      <c r="R811" s="2" t="inlineStr"/>
    </row>
    <row r="812" ht="15" customHeight="1">
      <c r="A812" t="inlineStr">
        <is>
          <t>A 43453-2021</t>
        </is>
      </c>
      <c r="B812" s="1" t="n">
        <v>44432.68241898148</v>
      </c>
      <c r="C812" s="1" t="n">
        <v>45952</v>
      </c>
      <c r="D812" t="inlineStr">
        <is>
          <t>ÖREBRO LÄN</t>
        </is>
      </c>
      <c r="E812" t="inlineStr">
        <is>
          <t>LINDESBERG</t>
        </is>
      </c>
      <c r="F812" t="inlineStr">
        <is>
          <t>Sveaskog</t>
        </is>
      </c>
      <c r="G812" t="n">
        <v>2.7</v>
      </c>
      <c r="H812" t="n">
        <v>0</v>
      </c>
      <c r="I812" t="n">
        <v>0</v>
      </c>
      <c r="J812" t="n">
        <v>0</v>
      </c>
      <c r="K812" t="n">
        <v>0</v>
      </c>
      <c r="L812" t="n">
        <v>0</v>
      </c>
      <c r="M812" t="n">
        <v>0</v>
      </c>
      <c r="N812" t="n">
        <v>0</v>
      </c>
      <c r="O812" t="n">
        <v>0</v>
      </c>
      <c r="P812" t="n">
        <v>0</v>
      </c>
      <c r="Q812" t="n">
        <v>0</v>
      </c>
      <c r="R812" s="2" t="inlineStr"/>
    </row>
    <row r="813" ht="15" customHeight="1">
      <c r="A813" t="inlineStr">
        <is>
          <t>A 41269-2021</t>
        </is>
      </c>
      <c r="B813" s="1" t="n">
        <v>44424</v>
      </c>
      <c r="C813" s="1" t="n">
        <v>45952</v>
      </c>
      <c r="D813" t="inlineStr">
        <is>
          <t>ÖREBRO LÄN</t>
        </is>
      </c>
      <c r="E813" t="inlineStr">
        <is>
          <t>LEKEBERG</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30878-2022</t>
        </is>
      </c>
      <c r="B814" s="1" t="n">
        <v>44767</v>
      </c>
      <c r="C814" s="1" t="n">
        <v>45952</v>
      </c>
      <c r="D814" t="inlineStr">
        <is>
          <t>ÖREBRO LÄN</t>
        </is>
      </c>
      <c r="E814" t="inlineStr">
        <is>
          <t>ASKERSUND</t>
        </is>
      </c>
      <c r="G814" t="n">
        <v>3</v>
      </c>
      <c r="H814" t="n">
        <v>0</v>
      </c>
      <c r="I814" t="n">
        <v>0</v>
      </c>
      <c r="J814" t="n">
        <v>0</v>
      </c>
      <c r="K814" t="n">
        <v>0</v>
      </c>
      <c r="L814" t="n">
        <v>0</v>
      </c>
      <c r="M814" t="n">
        <v>0</v>
      </c>
      <c r="N814" t="n">
        <v>0</v>
      </c>
      <c r="O814" t="n">
        <v>0</v>
      </c>
      <c r="P814" t="n">
        <v>0</v>
      </c>
      <c r="Q814" t="n">
        <v>0</v>
      </c>
      <c r="R814" s="2" t="inlineStr"/>
    </row>
    <row r="815" ht="15" customHeight="1">
      <c r="A815" t="inlineStr">
        <is>
          <t>A 23665-2022</t>
        </is>
      </c>
      <c r="B815" s="1" t="n">
        <v>44721</v>
      </c>
      <c r="C815" s="1" t="n">
        <v>45952</v>
      </c>
      <c r="D815" t="inlineStr">
        <is>
          <t>ÖREBRO LÄN</t>
        </is>
      </c>
      <c r="E815" t="inlineStr">
        <is>
          <t>HÄLLEFORS</t>
        </is>
      </c>
      <c r="F815" t="inlineStr">
        <is>
          <t>Bergvik skog väst AB</t>
        </is>
      </c>
      <c r="G815" t="n">
        <v>3.9</v>
      </c>
      <c r="H815" t="n">
        <v>0</v>
      </c>
      <c r="I815" t="n">
        <v>0</v>
      </c>
      <c r="J815" t="n">
        <v>0</v>
      </c>
      <c r="K815" t="n">
        <v>0</v>
      </c>
      <c r="L815" t="n">
        <v>0</v>
      </c>
      <c r="M815" t="n">
        <v>0</v>
      </c>
      <c r="N815" t="n">
        <v>0</v>
      </c>
      <c r="O815" t="n">
        <v>0</v>
      </c>
      <c r="P815" t="n">
        <v>0</v>
      </c>
      <c r="Q815" t="n">
        <v>0</v>
      </c>
      <c r="R815" s="2" t="inlineStr"/>
    </row>
    <row r="816" ht="15" customHeight="1">
      <c r="A816" t="inlineStr">
        <is>
          <t>A 30787-2022</t>
        </is>
      </c>
      <c r="B816" s="1" t="n">
        <v>44764</v>
      </c>
      <c r="C816" s="1" t="n">
        <v>45952</v>
      </c>
      <c r="D816" t="inlineStr">
        <is>
          <t>ÖREBRO LÄN</t>
        </is>
      </c>
      <c r="E816" t="inlineStr">
        <is>
          <t>ASKERSUND</t>
        </is>
      </c>
      <c r="G816" t="n">
        <v>1.5</v>
      </c>
      <c r="H816" t="n">
        <v>0</v>
      </c>
      <c r="I816" t="n">
        <v>0</v>
      </c>
      <c r="J816" t="n">
        <v>0</v>
      </c>
      <c r="K816" t="n">
        <v>0</v>
      </c>
      <c r="L816" t="n">
        <v>0</v>
      </c>
      <c r="M816" t="n">
        <v>0</v>
      </c>
      <c r="N816" t="n">
        <v>0</v>
      </c>
      <c r="O816" t="n">
        <v>0</v>
      </c>
      <c r="P816" t="n">
        <v>0</v>
      </c>
      <c r="Q816" t="n">
        <v>0</v>
      </c>
      <c r="R816" s="2" t="inlineStr"/>
    </row>
    <row r="817" ht="15" customHeight="1">
      <c r="A817" t="inlineStr">
        <is>
          <t>A 44146-2021</t>
        </is>
      </c>
      <c r="B817" s="1" t="n">
        <v>44434</v>
      </c>
      <c r="C817" s="1" t="n">
        <v>45952</v>
      </c>
      <c r="D817" t="inlineStr">
        <is>
          <t>ÖREBRO LÄN</t>
        </is>
      </c>
      <c r="E817" t="inlineStr">
        <is>
          <t>ÖREBRO</t>
        </is>
      </c>
      <c r="G817" t="n">
        <v>1.7</v>
      </c>
      <c r="H817" t="n">
        <v>0</v>
      </c>
      <c r="I817" t="n">
        <v>0</v>
      </c>
      <c r="J817" t="n">
        <v>0</v>
      </c>
      <c r="K817" t="n">
        <v>0</v>
      </c>
      <c r="L817" t="n">
        <v>0</v>
      </c>
      <c r="M817" t="n">
        <v>0</v>
      </c>
      <c r="N817" t="n">
        <v>0</v>
      </c>
      <c r="O817" t="n">
        <v>0</v>
      </c>
      <c r="P817" t="n">
        <v>0</v>
      </c>
      <c r="Q817" t="n">
        <v>0</v>
      </c>
      <c r="R817" s="2" t="inlineStr"/>
    </row>
    <row r="818" ht="15" customHeight="1">
      <c r="A818" t="inlineStr">
        <is>
          <t>A 55146-2021</t>
        </is>
      </c>
      <c r="B818" s="1" t="n">
        <v>44474</v>
      </c>
      <c r="C818" s="1" t="n">
        <v>45952</v>
      </c>
      <c r="D818" t="inlineStr">
        <is>
          <t>ÖREBRO LÄN</t>
        </is>
      </c>
      <c r="E818" t="inlineStr">
        <is>
          <t>KUMLA</t>
        </is>
      </c>
      <c r="G818" t="n">
        <v>3.1</v>
      </c>
      <c r="H818" t="n">
        <v>0</v>
      </c>
      <c r="I818" t="n">
        <v>0</v>
      </c>
      <c r="J818" t="n">
        <v>0</v>
      </c>
      <c r="K818" t="n">
        <v>0</v>
      </c>
      <c r="L818" t="n">
        <v>0</v>
      </c>
      <c r="M818" t="n">
        <v>0</v>
      </c>
      <c r="N818" t="n">
        <v>0</v>
      </c>
      <c r="O818" t="n">
        <v>0</v>
      </c>
      <c r="P818" t="n">
        <v>0</v>
      </c>
      <c r="Q818" t="n">
        <v>0</v>
      </c>
      <c r="R818" s="2" t="inlineStr"/>
    </row>
    <row r="819" ht="15" customHeight="1">
      <c r="A819" t="inlineStr">
        <is>
          <t>A 43452-2021</t>
        </is>
      </c>
      <c r="B819" s="1" t="n">
        <v>44432</v>
      </c>
      <c r="C819" s="1" t="n">
        <v>45952</v>
      </c>
      <c r="D819" t="inlineStr">
        <is>
          <t>ÖREBRO LÄN</t>
        </is>
      </c>
      <c r="E819" t="inlineStr">
        <is>
          <t>LINDESBERG</t>
        </is>
      </c>
      <c r="F819" t="inlineStr">
        <is>
          <t>Sveaskog</t>
        </is>
      </c>
      <c r="G819" t="n">
        <v>1.1</v>
      </c>
      <c r="H819" t="n">
        <v>0</v>
      </c>
      <c r="I819" t="n">
        <v>0</v>
      </c>
      <c r="J819" t="n">
        <v>0</v>
      </c>
      <c r="K819" t="n">
        <v>0</v>
      </c>
      <c r="L819" t="n">
        <v>0</v>
      </c>
      <c r="M819" t="n">
        <v>0</v>
      </c>
      <c r="N819" t="n">
        <v>0</v>
      </c>
      <c r="O819" t="n">
        <v>0</v>
      </c>
      <c r="P819" t="n">
        <v>0</v>
      </c>
      <c r="Q819" t="n">
        <v>0</v>
      </c>
      <c r="R819" s="2" t="inlineStr"/>
      <c r="U819">
        <f>HYPERLINK("https://klasma.github.io/Logging_1885/knärot/A 43452-2021 karta knärot.png", "A 43452-2021")</f>
        <v/>
      </c>
      <c r="V819">
        <f>HYPERLINK("https://klasma.github.io/Logging_1885/klagomål/A 43452-2021 FSC-klagomål.docx", "A 43452-2021")</f>
        <v/>
      </c>
      <c r="W819">
        <f>HYPERLINK("https://klasma.github.io/Logging_1885/klagomålsmail/A 43452-2021 FSC-klagomål mail.docx", "A 43452-2021")</f>
        <v/>
      </c>
      <c r="X819">
        <f>HYPERLINK("https://klasma.github.io/Logging_1885/tillsyn/A 43452-2021 tillsynsbegäran.docx", "A 43452-2021")</f>
        <v/>
      </c>
      <c r="Y819">
        <f>HYPERLINK("https://klasma.github.io/Logging_1885/tillsynsmail/A 43452-2021 tillsynsbegäran mail.docx", "A 43452-2021")</f>
        <v/>
      </c>
    </row>
    <row r="820" ht="15" customHeight="1">
      <c r="A820" t="inlineStr">
        <is>
          <t>A 46966-2021</t>
        </is>
      </c>
      <c r="B820" s="1" t="n">
        <v>44446</v>
      </c>
      <c r="C820" s="1" t="n">
        <v>45952</v>
      </c>
      <c r="D820" t="inlineStr">
        <is>
          <t>ÖREBRO LÄN</t>
        </is>
      </c>
      <c r="E820" t="inlineStr">
        <is>
          <t>ASKERSUND</t>
        </is>
      </c>
      <c r="G820" t="n">
        <v>3.3</v>
      </c>
      <c r="H820" t="n">
        <v>0</v>
      </c>
      <c r="I820" t="n">
        <v>0</v>
      </c>
      <c r="J820" t="n">
        <v>0</v>
      </c>
      <c r="K820" t="n">
        <v>0</v>
      </c>
      <c r="L820" t="n">
        <v>0</v>
      </c>
      <c r="M820" t="n">
        <v>0</v>
      </c>
      <c r="N820" t="n">
        <v>0</v>
      </c>
      <c r="O820" t="n">
        <v>0</v>
      </c>
      <c r="P820" t="n">
        <v>0</v>
      </c>
      <c r="Q820" t="n">
        <v>0</v>
      </c>
      <c r="R820" s="2" t="inlineStr"/>
    </row>
    <row r="821" ht="15" customHeight="1">
      <c r="A821" t="inlineStr">
        <is>
          <t>A 41026-2021</t>
        </is>
      </c>
      <c r="B821" s="1" t="n">
        <v>44421.66028935185</v>
      </c>
      <c r="C821" s="1" t="n">
        <v>45952</v>
      </c>
      <c r="D821" t="inlineStr">
        <is>
          <t>ÖREBRO LÄN</t>
        </is>
      </c>
      <c r="E821" t="inlineStr">
        <is>
          <t>KARLSKOGA</t>
        </is>
      </c>
      <c r="F821" t="inlineStr">
        <is>
          <t>Sveaskog</t>
        </is>
      </c>
      <c r="G821" t="n">
        <v>1.6</v>
      </c>
      <c r="H821" t="n">
        <v>0</v>
      </c>
      <c r="I821" t="n">
        <v>0</v>
      </c>
      <c r="J821" t="n">
        <v>0</v>
      </c>
      <c r="K821" t="n">
        <v>0</v>
      </c>
      <c r="L821" t="n">
        <v>0</v>
      </c>
      <c r="M821" t="n">
        <v>0</v>
      </c>
      <c r="N821" t="n">
        <v>0</v>
      </c>
      <c r="O821" t="n">
        <v>0</v>
      </c>
      <c r="P821" t="n">
        <v>0</v>
      </c>
      <c r="Q821" t="n">
        <v>0</v>
      </c>
      <c r="R821" s="2" t="inlineStr"/>
    </row>
    <row r="822" ht="15" customHeight="1">
      <c r="A822" t="inlineStr">
        <is>
          <t>A 46954-2021</t>
        </is>
      </c>
      <c r="B822" s="1" t="n">
        <v>44446</v>
      </c>
      <c r="C822" s="1" t="n">
        <v>45952</v>
      </c>
      <c r="D822" t="inlineStr">
        <is>
          <t>ÖREBRO LÄN</t>
        </is>
      </c>
      <c r="E822" t="inlineStr">
        <is>
          <t>ASKERSUND</t>
        </is>
      </c>
      <c r="G822" t="n">
        <v>3.1</v>
      </c>
      <c r="H822" t="n">
        <v>0</v>
      </c>
      <c r="I822" t="n">
        <v>0</v>
      </c>
      <c r="J822" t="n">
        <v>0</v>
      </c>
      <c r="K822" t="n">
        <v>0</v>
      </c>
      <c r="L822" t="n">
        <v>0</v>
      </c>
      <c r="M822" t="n">
        <v>0</v>
      </c>
      <c r="N822" t="n">
        <v>0</v>
      </c>
      <c r="O822" t="n">
        <v>0</v>
      </c>
      <c r="P822" t="n">
        <v>0</v>
      </c>
      <c r="Q822" t="n">
        <v>0</v>
      </c>
      <c r="R822" s="2" t="inlineStr"/>
    </row>
    <row r="823" ht="15" customHeight="1">
      <c r="A823" t="inlineStr">
        <is>
          <t>A 5338-2022</t>
        </is>
      </c>
      <c r="B823" s="1" t="n">
        <v>44594</v>
      </c>
      <c r="C823" s="1" t="n">
        <v>45952</v>
      </c>
      <c r="D823" t="inlineStr">
        <is>
          <t>ÖREBRO LÄN</t>
        </is>
      </c>
      <c r="E823" t="inlineStr">
        <is>
          <t>LINDESBERG</t>
        </is>
      </c>
      <c r="G823" t="n">
        <v>1.3</v>
      </c>
      <c r="H823" t="n">
        <v>0</v>
      </c>
      <c r="I823" t="n">
        <v>0</v>
      </c>
      <c r="J823" t="n">
        <v>0</v>
      </c>
      <c r="K823" t="n">
        <v>0</v>
      </c>
      <c r="L823" t="n">
        <v>0</v>
      </c>
      <c r="M823" t="n">
        <v>0</v>
      </c>
      <c r="N823" t="n">
        <v>0</v>
      </c>
      <c r="O823" t="n">
        <v>0</v>
      </c>
      <c r="P823" t="n">
        <v>0</v>
      </c>
      <c r="Q823" t="n">
        <v>0</v>
      </c>
      <c r="R823" s="2" t="inlineStr"/>
    </row>
    <row r="824" ht="15" customHeight="1">
      <c r="A824" t="inlineStr">
        <is>
          <t>A 21567-2022</t>
        </is>
      </c>
      <c r="B824" s="1" t="n">
        <v>44706</v>
      </c>
      <c r="C824" s="1" t="n">
        <v>45952</v>
      </c>
      <c r="D824" t="inlineStr">
        <is>
          <t>ÖREBRO LÄN</t>
        </is>
      </c>
      <c r="E824" t="inlineStr">
        <is>
          <t>ÖREBRO</t>
        </is>
      </c>
      <c r="F824" t="inlineStr">
        <is>
          <t>Övriga Aktiebolag</t>
        </is>
      </c>
      <c r="G824" t="n">
        <v>1</v>
      </c>
      <c r="H824" t="n">
        <v>0</v>
      </c>
      <c r="I824" t="n">
        <v>0</v>
      </c>
      <c r="J824" t="n">
        <v>0</v>
      </c>
      <c r="K824" t="n">
        <v>0</v>
      </c>
      <c r="L824" t="n">
        <v>0</v>
      </c>
      <c r="M824" t="n">
        <v>0</v>
      </c>
      <c r="N824" t="n">
        <v>0</v>
      </c>
      <c r="O824" t="n">
        <v>0</v>
      </c>
      <c r="P824" t="n">
        <v>0</v>
      </c>
      <c r="Q824" t="n">
        <v>0</v>
      </c>
      <c r="R824" s="2" t="inlineStr"/>
    </row>
    <row r="825" ht="15" customHeight="1">
      <c r="A825" t="inlineStr">
        <is>
          <t>A 7294-2022</t>
        </is>
      </c>
      <c r="B825" s="1" t="n">
        <v>44606.48085648148</v>
      </c>
      <c r="C825" s="1" t="n">
        <v>45952</v>
      </c>
      <c r="D825" t="inlineStr">
        <is>
          <t>ÖREBRO LÄN</t>
        </is>
      </c>
      <c r="E825" t="inlineStr">
        <is>
          <t>HÄLLEFORS</t>
        </is>
      </c>
      <c r="F825" t="inlineStr">
        <is>
          <t>Bergvik skog väst AB</t>
        </is>
      </c>
      <c r="G825" t="n">
        <v>1.4</v>
      </c>
      <c r="H825" t="n">
        <v>0</v>
      </c>
      <c r="I825" t="n">
        <v>0</v>
      </c>
      <c r="J825" t="n">
        <v>0</v>
      </c>
      <c r="K825" t="n">
        <v>0</v>
      </c>
      <c r="L825" t="n">
        <v>0</v>
      </c>
      <c r="M825" t="n">
        <v>0</v>
      </c>
      <c r="N825" t="n">
        <v>0</v>
      </c>
      <c r="O825" t="n">
        <v>0</v>
      </c>
      <c r="P825" t="n">
        <v>0</v>
      </c>
      <c r="Q825" t="n">
        <v>0</v>
      </c>
      <c r="R825" s="2" t="inlineStr"/>
    </row>
    <row r="826" ht="15" customHeight="1">
      <c r="A826" t="inlineStr">
        <is>
          <t>A 54130-2021</t>
        </is>
      </c>
      <c r="B826" s="1" t="n">
        <v>44470</v>
      </c>
      <c r="C826" s="1" t="n">
        <v>45952</v>
      </c>
      <c r="D826" t="inlineStr">
        <is>
          <t>ÖREBRO LÄN</t>
        </is>
      </c>
      <c r="E826" t="inlineStr">
        <is>
          <t>DEGERFORS</t>
        </is>
      </c>
      <c r="F826" t="inlineStr">
        <is>
          <t>Sveaskog</t>
        </is>
      </c>
      <c r="G826" t="n">
        <v>1.9</v>
      </c>
      <c r="H826" t="n">
        <v>0</v>
      </c>
      <c r="I826" t="n">
        <v>0</v>
      </c>
      <c r="J826" t="n">
        <v>0</v>
      </c>
      <c r="K826" t="n">
        <v>0</v>
      </c>
      <c r="L826" t="n">
        <v>0</v>
      </c>
      <c r="M826" t="n">
        <v>0</v>
      </c>
      <c r="N826" t="n">
        <v>0</v>
      </c>
      <c r="O826" t="n">
        <v>0</v>
      </c>
      <c r="P826" t="n">
        <v>0</v>
      </c>
      <c r="Q826" t="n">
        <v>0</v>
      </c>
      <c r="R826" s="2" t="inlineStr"/>
    </row>
    <row r="827" ht="15" customHeight="1">
      <c r="A827" t="inlineStr">
        <is>
          <t>A 49308-2021</t>
        </is>
      </c>
      <c r="B827" s="1" t="n">
        <v>44454.50037037037</v>
      </c>
      <c r="C827" s="1" t="n">
        <v>45952</v>
      </c>
      <c r="D827" t="inlineStr">
        <is>
          <t>ÖREBRO LÄN</t>
        </is>
      </c>
      <c r="E827" t="inlineStr">
        <is>
          <t>ASKERSUND</t>
        </is>
      </c>
      <c r="G827" t="n">
        <v>1.1</v>
      </c>
      <c r="H827" t="n">
        <v>0</v>
      </c>
      <c r="I827" t="n">
        <v>0</v>
      </c>
      <c r="J827" t="n">
        <v>0</v>
      </c>
      <c r="K827" t="n">
        <v>0</v>
      </c>
      <c r="L827" t="n">
        <v>0</v>
      </c>
      <c r="M827" t="n">
        <v>0</v>
      </c>
      <c r="N827" t="n">
        <v>0</v>
      </c>
      <c r="O827" t="n">
        <v>0</v>
      </c>
      <c r="P827" t="n">
        <v>0</v>
      </c>
      <c r="Q827" t="n">
        <v>0</v>
      </c>
      <c r="R827" s="2" t="inlineStr"/>
    </row>
    <row r="828" ht="15" customHeight="1">
      <c r="A828" t="inlineStr">
        <is>
          <t>A 56294-2021</t>
        </is>
      </c>
      <c r="B828" s="1" t="n">
        <v>44480</v>
      </c>
      <c r="C828" s="1" t="n">
        <v>45952</v>
      </c>
      <c r="D828" t="inlineStr">
        <is>
          <t>ÖREBRO LÄN</t>
        </is>
      </c>
      <c r="E828" t="inlineStr">
        <is>
          <t>ASKERSUND</t>
        </is>
      </c>
      <c r="G828" t="n">
        <v>2.3</v>
      </c>
      <c r="H828" t="n">
        <v>0</v>
      </c>
      <c r="I828" t="n">
        <v>0</v>
      </c>
      <c r="J828" t="n">
        <v>0</v>
      </c>
      <c r="K828" t="n">
        <v>0</v>
      </c>
      <c r="L828" t="n">
        <v>0</v>
      </c>
      <c r="M828" t="n">
        <v>0</v>
      </c>
      <c r="N828" t="n">
        <v>0</v>
      </c>
      <c r="O828" t="n">
        <v>0</v>
      </c>
      <c r="P828" t="n">
        <v>0</v>
      </c>
      <c r="Q828" t="n">
        <v>0</v>
      </c>
      <c r="R828" s="2" t="inlineStr"/>
    </row>
    <row r="829" ht="15" customHeight="1">
      <c r="A829" t="inlineStr">
        <is>
          <t>A 56363-2021</t>
        </is>
      </c>
      <c r="B829" s="1" t="n">
        <v>44480</v>
      </c>
      <c r="C829" s="1" t="n">
        <v>45952</v>
      </c>
      <c r="D829" t="inlineStr">
        <is>
          <t>ÖREBRO LÄN</t>
        </is>
      </c>
      <c r="E829" t="inlineStr">
        <is>
          <t>ASKERSUND</t>
        </is>
      </c>
      <c r="F829" t="inlineStr">
        <is>
          <t>Sveaskog</t>
        </is>
      </c>
      <c r="G829" t="n">
        <v>0.7</v>
      </c>
      <c r="H829" t="n">
        <v>0</v>
      </c>
      <c r="I829" t="n">
        <v>0</v>
      </c>
      <c r="J829" t="n">
        <v>0</v>
      </c>
      <c r="K829" t="n">
        <v>0</v>
      </c>
      <c r="L829" t="n">
        <v>0</v>
      </c>
      <c r="M829" t="n">
        <v>0</v>
      </c>
      <c r="N829" t="n">
        <v>0</v>
      </c>
      <c r="O829" t="n">
        <v>0</v>
      </c>
      <c r="P829" t="n">
        <v>0</v>
      </c>
      <c r="Q829" t="n">
        <v>0</v>
      </c>
      <c r="R829" s="2" t="inlineStr"/>
    </row>
    <row r="830" ht="15" customHeight="1">
      <c r="A830" t="inlineStr">
        <is>
          <t>A 45495-2021</t>
        </is>
      </c>
      <c r="B830" s="1" t="n">
        <v>44440.53287037037</v>
      </c>
      <c r="C830" s="1" t="n">
        <v>45952</v>
      </c>
      <c r="D830" t="inlineStr">
        <is>
          <t>ÖREBRO LÄN</t>
        </is>
      </c>
      <c r="E830" t="inlineStr">
        <is>
          <t>KUMLA</t>
        </is>
      </c>
      <c r="G830" t="n">
        <v>1.3</v>
      </c>
      <c r="H830" t="n">
        <v>0</v>
      </c>
      <c r="I830" t="n">
        <v>0</v>
      </c>
      <c r="J830" t="n">
        <v>0</v>
      </c>
      <c r="K830" t="n">
        <v>0</v>
      </c>
      <c r="L830" t="n">
        <v>0</v>
      </c>
      <c r="M830" t="n">
        <v>0</v>
      </c>
      <c r="N830" t="n">
        <v>0</v>
      </c>
      <c r="O830" t="n">
        <v>0</v>
      </c>
      <c r="P830" t="n">
        <v>0</v>
      </c>
      <c r="Q830" t="n">
        <v>0</v>
      </c>
      <c r="R830" s="2" t="inlineStr"/>
    </row>
    <row r="831" ht="15" customHeight="1">
      <c r="A831" t="inlineStr">
        <is>
          <t>A 22483-2021</t>
        </is>
      </c>
      <c r="B831" s="1" t="n">
        <v>44326.7296412037</v>
      </c>
      <c r="C831" s="1" t="n">
        <v>45952</v>
      </c>
      <c r="D831" t="inlineStr">
        <is>
          <t>ÖREBRO LÄN</t>
        </is>
      </c>
      <c r="E831" t="inlineStr">
        <is>
          <t>LINDESBERG</t>
        </is>
      </c>
      <c r="G831" t="n">
        <v>2.1</v>
      </c>
      <c r="H831" t="n">
        <v>0</v>
      </c>
      <c r="I831" t="n">
        <v>0</v>
      </c>
      <c r="J831" t="n">
        <v>0</v>
      </c>
      <c r="K831" t="n">
        <v>0</v>
      </c>
      <c r="L831" t="n">
        <v>0</v>
      </c>
      <c r="M831" t="n">
        <v>0</v>
      </c>
      <c r="N831" t="n">
        <v>0</v>
      </c>
      <c r="O831" t="n">
        <v>0</v>
      </c>
      <c r="P831" t="n">
        <v>0</v>
      </c>
      <c r="Q831" t="n">
        <v>0</v>
      </c>
      <c r="R831" s="2" t="inlineStr"/>
    </row>
    <row r="832" ht="15" customHeight="1">
      <c r="A832" t="inlineStr">
        <is>
          <t>A 58103-2021</t>
        </is>
      </c>
      <c r="B832" s="1" t="n">
        <v>44487.51556712963</v>
      </c>
      <c r="C832" s="1" t="n">
        <v>45952</v>
      </c>
      <c r="D832" t="inlineStr">
        <is>
          <t>ÖREBRO LÄN</t>
        </is>
      </c>
      <c r="E832" t="inlineStr">
        <is>
          <t>LINDESBERG</t>
        </is>
      </c>
      <c r="G832" t="n">
        <v>0.6</v>
      </c>
      <c r="H832" t="n">
        <v>0</v>
      </c>
      <c r="I832" t="n">
        <v>0</v>
      </c>
      <c r="J832" t="n">
        <v>0</v>
      </c>
      <c r="K832" t="n">
        <v>0</v>
      </c>
      <c r="L832" t="n">
        <v>0</v>
      </c>
      <c r="M832" t="n">
        <v>0</v>
      </c>
      <c r="N832" t="n">
        <v>0</v>
      </c>
      <c r="O832" t="n">
        <v>0</v>
      </c>
      <c r="P832" t="n">
        <v>0</v>
      </c>
      <c r="Q832" t="n">
        <v>0</v>
      </c>
      <c r="R832" s="2" t="inlineStr"/>
    </row>
    <row r="833" ht="15" customHeight="1">
      <c r="A833" t="inlineStr">
        <is>
          <t>A 50754-2022</t>
        </is>
      </c>
      <c r="B833" s="1" t="n">
        <v>44867.41003472222</v>
      </c>
      <c r="C833" s="1" t="n">
        <v>45952</v>
      </c>
      <c r="D833" t="inlineStr">
        <is>
          <t>ÖREBRO LÄN</t>
        </is>
      </c>
      <c r="E833" t="inlineStr">
        <is>
          <t>LAXÅ</t>
        </is>
      </c>
      <c r="F833" t="inlineStr">
        <is>
          <t>Sveaskog</t>
        </is>
      </c>
      <c r="G833" t="n">
        <v>3.4</v>
      </c>
      <c r="H833" t="n">
        <v>0</v>
      </c>
      <c r="I833" t="n">
        <v>0</v>
      </c>
      <c r="J833" t="n">
        <v>0</v>
      </c>
      <c r="K833" t="n">
        <v>0</v>
      </c>
      <c r="L833" t="n">
        <v>0</v>
      </c>
      <c r="M833" t="n">
        <v>0</v>
      </c>
      <c r="N833" t="n">
        <v>0</v>
      </c>
      <c r="O833" t="n">
        <v>0</v>
      </c>
      <c r="P833" t="n">
        <v>0</v>
      </c>
      <c r="Q833" t="n">
        <v>0</v>
      </c>
      <c r="R833" s="2" t="inlineStr"/>
    </row>
    <row r="834" ht="15" customHeight="1">
      <c r="A834" t="inlineStr">
        <is>
          <t>A 58138-2021</t>
        </is>
      </c>
      <c r="B834" s="1" t="n">
        <v>44487</v>
      </c>
      <c r="C834" s="1" t="n">
        <v>45952</v>
      </c>
      <c r="D834" t="inlineStr">
        <is>
          <t>ÖREBRO LÄN</t>
        </is>
      </c>
      <c r="E834" t="inlineStr">
        <is>
          <t>ÖREBRO</t>
        </is>
      </c>
      <c r="G834" t="n">
        <v>1.2</v>
      </c>
      <c r="H834" t="n">
        <v>0</v>
      </c>
      <c r="I834" t="n">
        <v>0</v>
      </c>
      <c r="J834" t="n">
        <v>0</v>
      </c>
      <c r="K834" t="n">
        <v>0</v>
      </c>
      <c r="L834" t="n">
        <v>0</v>
      </c>
      <c r="M834" t="n">
        <v>0</v>
      </c>
      <c r="N834" t="n">
        <v>0</v>
      </c>
      <c r="O834" t="n">
        <v>0</v>
      </c>
      <c r="P834" t="n">
        <v>0</v>
      </c>
      <c r="Q834" t="n">
        <v>0</v>
      </c>
      <c r="R834" s="2" t="inlineStr"/>
    </row>
    <row r="835" ht="15" customHeight="1">
      <c r="A835" t="inlineStr">
        <is>
          <t>A 23856-2021</t>
        </is>
      </c>
      <c r="B835" s="1" t="n">
        <v>44335.4658912037</v>
      </c>
      <c r="C835" s="1" t="n">
        <v>45952</v>
      </c>
      <c r="D835" t="inlineStr">
        <is>
          <t>ÖREBRO LÄN</t>
        </is>
      </c>
      <c r="E835" t="inlineStr">
        <is>
          <t>HALLSBERG</t>
        </is>
      </c>
      <c r="F835" t="inlineStr">
        <is>
          <t>Sveaskog</t>
        </is>
      </c>
      <c r="G835" t="n">
        <v>1.4</v>
      </c>
      <c r="H835" t="n">
        <v>0</v>
      </c>
      <c r="I835" t="n">
        <v>0</v>
      </c>
      <c r="J835" t="n">
        <v>0</v>
      </c>
      <c r="K835" t="n">
        <v>0</v>
      </c>
      <c r="L835" t="n">
        <v>0</v>
      </c>
      <c r="M835" t="n">
        <v>0</v>
      </c>
      <c r="N835" t="n">
        <v>0</v>
      </c>
      <c r="O835" t="n">
        <v>0</v>
      </c>
      <c r="P835" t="n">
        <v>0</v>
      </c>
      <c r="Q835" t="n">
        <v>0</v>
      </c>
      <c r="R835" s="2" t="inlineStr"/>
    </row>
    <row r="836" ht="15" customHeight="1">
      <c r="A836" t="inlineStr">
        <is>
          <t>A 22927-2021</t>
        </is>
      </c>
      <c r="B836" s="1" t="n">
        <v>44328</v>
      </c>
      <c r="C836" s="1" t="n">
        <v>45952</v>
      </c>
      <c r="D836" t="inlineStr">
        <is>
          <t>ÖREBRO LÄN</t>
        </is>
      </c>
      <c r="E836" t="inlineStr">
        <is>
          <t>LAXÅ</t>
        </is>
      </c>
      <c r="G836" t="n">
        <v>2</v>
      </c>
      <c r="H836" t="n">
        <v>0</v>
      </c>
      <c r="I836" t="n">
        <v>0</v>
      </c>
      <c r="J836" t="n">
        <v>0</v>
      </c>
      <c r="K836" t="n">
        <v>0</v>
      </c>
      <c r="L836" t="n">
        <v>0</v>
      </c>
      <c r="M836" t="n">
        <v>0</v>
      </c>
      <c r="N836" t="n">
        <v>0</v>
      </c>
      <c r="O836" t="n">
        <v>0</v>
      </c>
      <c r="P836" t="n">
        <v>0</v>
      </c>
      <c r="Q836" t="n">
        <v>0</v>
      </c>
      <c r="R836" s="2" t="inlineStr"/>
    </row>
    <row r="837" ht="15" customHeight="1">
      <c r="A837" t="inlineStr">
        <is>
          <t>A 52187-2021</t>
        </is>
      </c>
      <c r="B837" s="1" t="n">
        <v>44463</v>
      </c>
      <c r="C837" s="1" t="n">
        <v>45952</v>
      </c>
      <c r="D837" t="inlineStr">
        <is>
          <t>ÖREBRO LÄN</t>
        </is>
      </c>
      <c r="E837" t="inlineStr">
        <is>
          <t>LINDESBERG</t>
        </is>
      </c>
      <c r="G837" t="n">
        <v>1.1</v>
      </c>
      <c r="H837" t="n">
        <v>0</v>
      </c>
      <c r="I837" t="n">
        <v>0</v>
      </c>
      <c r="J837" t="n">
        <v>0</v>
      </c>
      <c r="K837" t="n">
        <v>0</v>
      </c>
      <c r="L837" t="n">
        <v>0</v>
      </c>
      <c r="M837" t="n">
        <v>0</v>
      </c>
      <c r="N837" t="n">
        <v>0</v>
      </c>
      <c r="O837" t="n">
        <v>0</v>
      </c>
      <c r="P837" t="n">
        <v>0</v>
      </c>
      <c r="Q837" t="n">
        <v>0</v>
      </c>
      <c r="R837" s="2" t="inlineStr"/>
    </row>
    <row r="838" ht="15" customHeight="1">
      <c r="A838" t="inlineStr">
        <is>
          <t>A 60889-2021</t>
        </is>
      </c>
      <c r="B838" s="1" t="n">
        <v>44497.42795138889</v>
      </c>
      <c r="C838" s="1" t="n">
        <v>45952</v>
      </c>
      <c r="D838" t="inlineStr">
        <is>
          <t>ÖREBRO LÄN</t>
        </is>
      </c>
      <c r="E838" t="inlineStr">
        <is>
          <t>DEGERFORS</t>
        </is>
      </c>
      <c r="G838" t="n">
        <v>0.5</v>
      </c>
      <c r="H838" t="n">
        <v>0</v>
      </c>
      <c r="I838" t="n">
        <v>0</v>
      </c>
      <c r="J838" t="n">
        <v>0</v>
      </c>
      <c r="K838" t="n">
        <v>0</v>
      </c>
      <c r="L838" t="n">
        <v>0</v>
      </c>
      <c r="M838" t="n">
        <v>0</v>
      </c>
      <c r="N838" t="n">
        <v>0</v>
      </c>
      <c r="O838" t="n">
        <v>0</v>
      </c>
      <c r="P838" t="n">
        <v>0</v>
      </c>
      <c r="Q838" t="n">
        <v>0</v>
      </c>
      <c r="R838" s="2" t="inlineStr"/>
    </row>
    <row r="839" ht="15" customHeight="1">
      <c r="A839" t="inlineStr">
        <is>
          <t>A 60900-2021</t>
        </is>
      </c>
      <c r="B839" s="1" t="n">
        <v>44497</v>
      </c>
      <c r="C839" s="1" t="n">
        <v>45952</v>
      </c>
      <c r="D839" t="inlineStr">
        <is>
          <t>ÖREBRO LÄN</t>
        </is>
      </c>
      <c r="E839" t="inlineStr">
        <is>
          <t>LINDESBERG</t>
        </is>
      </c>
      <c r="G839" t="n">
        <v>7.3</v>
      </c>
      <c r="H839" t="n">
        <v>0</v>
      </c>
      <c r="I839" t="n">
        <v>0</v>
      </c>
      <c r="J839" t="n">
        <v>0</v>
      </c>
      <c r="K839" t="n">
        <v>0</v>
      </c>
      <c r="L839" t="n">
        <v>0</v>
      </c>
      <c r="M839" t="n">
        <v>0</v>
      </c>
      <c r="N839" t="n">
        <v>0</v>
      </c>
      <c r="O839" t="n">
        <v>0</v>
      </c>
      <c r="P839" t="n">
        <v>0</v>
      </c>
      <c r="Q839" t="n">
        <v>0</v>
      </c>
      <c r="R839" s="2" t="inlineStr"/>
    </row>
    <row r="840" ht="15" customHeight="1">
      <c r="A840" t="inlineStr">
        <is>
          <t>A 50069-2021</t>
        </is>
      </c>
      <c r="B840" s="1" t="n">
        <v>44456</v>
      </c>
      <c r="C840" s="1" t="n">
        <v>45952</v>
      </c>
      <c r="D840" t="inlineStr">
        <is>
          <t>ÖREBRO LÄN</t>
        </is>
      </c>
      <c r="E840" t="inlineStr">
        <is>
          <t>LINDESBERG</t>
        </is>
      </c>
      <c r="G840" t="n">
        <v>14.5</v>
      </c>
      <c r="H840" t="n">
        <v>0</v>
      </c>
      <c r="I840" t="n">
        <v>0</v>
      </c>
      <c r="J840" t="n">
        <v>0</v>
      </c>
      <c r="K840" t="n">
        <v>0</v>
      </c>
      <c r="L840" t="n">
        <v>0</v>
      </c>
      <c r="M840" t="n">
        <v>0</v>
      </c>
      <c r="N840" t="n">
        <v>0</v>
      </c>
      <c r="O840" t="n">
        <v>0</v>
      </c>
      <c r="P840" t="n">
        <v>0</v>
      </c>
      <c r="Q840" t="n">
        <v>0</v>
      </c>
      <c r="R840" s="2" t="inlineStr"/>
    </row>
    <row r="841" ht="15" customHeight="1">
      <c r="A841" t="inlineStr">
        <is>
          <t>A 16326-2021</t>
        </is>
      </c>
      <c r="B841" s="1" t="n">
        <v>44292</v>
      </c>
      <c r="C841" s="1" t="n">
        <v>45952</v>
      </c>
      <c r="D841" t="inlineStr">
        <is>
          <t>ÖREBRO LÄN</t>
        </is>
      </c>
      <c r="E841" t="inlineStr">
        <is>
          <t>NORA</t>
        </is>
      </c>
      <c r="G841" t="n">
        <v>1.1</v>
      </c>
      <c r="H841" t="n">
        <v>0</v>
      </c>
      <c r="I841" t="n">
        <v>0</v>
      </c>
      <c r="J841" t="n">
        <v>0</v>
      </c>
      <c r="K841" t="n">
        <v>0</v>
      </c>
      <c r="L841" t="n">
        <v>0</v>
      </c>
      <c r="M841" t="n">
        <v>0</v>
      </c>
      <c r="N841" t="n">
        <v>0</v>
      </c>
      <c r="O841" t="n">
        <v>0</v>
      </c>
      <c r="P841" t="n">
        <v>0</v>
      </c>
      <c r="Q841" t="n">
        <v>0</v>
      </c>
      <c r="R841" s="2" t="inlineStr"/>
    </row>
    <row r="842" ht="15" customHeight="1">
      <c r="A842" t="inlineStr">
        <is>
          <t>A 15358-2021</t>
        </is>
      </c>
      <c r="B842" s="1" t="n">
        <v>44284</v>
      </c>
      <c r="C842" s="1" t="n">
        <v>45952</v>
      </c>
      <c r="D842" t="inlineStr">
        <is>
          <t>ÖREBRO LÄN</t>
        </is>
      </c>
      <c r="E842" t="inlineStr">
        <is>
          <t>NORA</t>
        </is>
      </c>
      <c r="G842" t="n">
        <v>3</v>
      </c>
      <c r="H842" t="n">
        <v>0</v>
      </c>
      <c r="I842" t="n">
        <v>0</v>
      </c>
      <c r="J842" t="n">
        <v>0</v>
      </c>
      <c r="K842" t="n">
        <v>0</v>
      </c>
      <c r="L842" t="n">
        <v>0</v>
      </c>
      <c r="M842" t="n">
        <v>0</v>
      </c>
      <c r="N842" t="n">
        <v>0</v>
      </c>
      <c r="O842" t="n">
        <v>0</v>
      </c>
      <c r="P842" t="n">
        <v>0</v>
      </c>
      <c r="Q842" t="n">
        <v>0</v>
      </c>
      <c r="R842" s="2" t="inlineStr"/>
    </row>
    <row r="843" ht="15" customHeight="1">
      <c r="A843" t="inlineStr">
        <is>
          <t>A 65240-2021</t>
        </is>
      </c>
      <c r="B843" s="1" t="n">
        <v>44515</v>
      </c>
      <c r="C843" s="1" t="n">
        <v>45952</v>
      </c>
      <c r="D843" t="inlineStr">
        <is>
          <t>ÖREBRO LÄN</t>
        </is>
      </c>
      <c r="E843" t="inlineStr">
        <is>
          <t>HÄLLEFORS</t>
        </is>
      </c>
      <c r="G843" t="n">
        <v>0.8</v>
      </c>
      <c r="H843" t="n">
        <v>0</v>
      </c>
      <c r="I843" t="n">
        <v>0</v>
      </c>
      <c r="J843" t="n">
        <v>0</v>
      </c>
      <c r="K843" t="n">
        <v>0</v>
      </c>
      <c r="L843" t="n">
        <v>0</v>
      </c>
      <c r="M843" t="n">
        <v>0</v>
      </c>
      <c r="N843" t="n">
        <v>0</v>
      </c>
      <c r="O843" t="n">
        <v>0</v>
      </c>
      <c r="P843" t="n">
        <v>0</v>
      </c>
      <c r="Q843" t="n">
        <v>0</v>
      </c>
      <c r="R843" s="2" t="inlineStr"/>
    </row>
    <row r="844" ht="15" customHeight="1">
      <c r="A844" t="inlineStr">
        <is>
          <t>A 39725-2022</t>
        </is>
      </c>
      <c r="B844" s="1" t="n">
        <v>44816</v>
      </c>
      <c r="C844" s="1" t="n">
        <v>45952</v>
      </c>
      <c r="D844" t="inlineStr">
        <is>
          <t>ÖREBRO LÄN</t>
        </is>
      </c>
      <c r="E844" t="inlineStr">
        <is>
          <t>HALLSBERG</t>
        </is>
      </c>
      <c r="G844" t="n">
        <v>2.1</v>
      </c>
      <c r="H844" t="n">
        <v>0</v>
      </c>
      <c r="I844" t="n">
        <v>0</v>
      </c>
      <c r="J844" t="n">
        <v>0</v>
      </c>
      <c r="K844" t="n">
        <v>0</v>
      </c>
      <c r="L844" t="n">
        <v>0</v>
      </c>
      <c r="M844" t="n">
        <v>0</v>
      </c>
      <c r="N844" t="n">
        <v>0</v>
      </c>
      <c r="O844" t="n">
        <v>0</v>
      </c>
      <c r="P844" t="n">
        <v>0</v>
      </c>
      <c r="Q844" t="n">
        <v>0</v>
      </c>
      <c r="R844" s="2" t="inlineStr"/>
    </row>
    <row r="845" ht="15" customHeight="1">
      <c r="A845" t="inlineStr">
        <is>
          <t>A 39773-2022</t>
        </is>
      </c>
      <c r="B845" s="1" t="n">
        <v>44819</v>
      </c>
      <c r="C845" s="1" t="n">
        <v>45952</v>
      </c>
      <c r="D845" t="inlineStr">
        <is>
          <t>ÖREBRO LÄN</t>
        </is>
      </c>
      <c r="E845" t="inlineStr">
        <is>
          <t>LINDESBERG</t>
        </is>
      </c>
      <c r="G845" t="n">
        <v>0.3</v>
      </c>
      <c r="H845" t="n">
        <v>0</v>
      </c>
      <c r="I845" t="n">
        <v>0</v>
      </c>
      <c r="J845" t="n">
        <v>0</v>
      </c>
      <c r="K845" t="n">
        <v>0</v>
      </c>
      <c r="L845" t="n">
        <v>0</v>
      </c>
      <c r="M845" t="n">
        <v>0</v>
      </c>
      <c r="N845" t="n">
        <v>0</v>
      </c>
      <c r="O845" t="n">
        <v>0</v>
      </c>
      <c r="P845" t="n">
        <v>0</v>
      </c>
      <c r="Q845" t="n">
        <v>0</v>
      </c>
      <c r="R845" s="2" t="inlineStr"/>
    </row>
    <row r="846" ht="15" customHeight="1">
      <c r="A846" t="inlineStr">
        <is>
          <t>A 25885-2022</t>
        </is>
      </c>
      <c r="B846" s="1" t="n">
        <v>44733.71126157408</v>
      </c>
      <c r="C846" s="1" t="n">
        <v>45952</v>
      </c>
      <c r="D846" t="inlineStr">
        <is>
          <t>ÖREBRO LÄN</t>
        </is>
      </c>
      <c r="E846" t="inlineStr">
        <is>
          <t>LINDESBERG</t>
        </is>
      </c>
      <c r="G846" t="n">
        <v>1.1</v>
      </c>
      <c r="H846" t="n">
        <v>0</v>
      </c>
      <c r="I846" t="n">
        <v>0</v>
      </c>
      <c r="J846" t="n">
        <v>0</v>
      </c>
      <c r="K846" t="n">
        <v>0</v>
      </c>
      <c r="L846" t="n">
        <v>0</v>
      </c>
      <c r="M846" t="n">
        <v>0</v>
      </c>
      <c r="N846" t="n">
        <v>0</v>
      </c>
      <c r="O846" t="n">
        <v>0</v>
      </c>
      <c r="P846" t="n">
        <v>0</v>
      </c>
      <c r="Q846" t="n">
        <v>0</v>
      </c>
      <c r="R846" s="2" t="inlineStr"/>
    </row>
    <row r="847" ht="15" customHeight="1">
      <c r="A847" t="inlineStr">
        <is>
          <t>A 40589-2021</t>
        </is>
      </c>
      <c r="B847" s="1" t="n">
        <v>44420</v>
      </c>
      <c r="C847" s="1" t="n">
        <v>45952</v>
      </c>
      <c r="D847" t="inlineStr">
        <is>
          <t>ÖREBRO LÄN</t>
        </is>
      </c>
      <c r="E847" t="inlineStr">
        <is>
          <t>ASKERSUND</t>
        </is>
      </c>
      <c r="G847" t="n">
        <v>1.4</v>
      </c>
      <c r="H847" t="n">
        <v>0</v>
      </c>
      <c r="I847" t="n">
        <v>0</v>
      </c>
      <c r="J847" t="n">
        <v>0</v>
      </c>
      <c r="K847" t="n">
        <v>0</v>
      </c>
      <c r="L847" t="n">
        <v>0</v>
      </c>
      <c r="M847" t="n">
        <v>0</v>
      </c>
      <c r="N847" t="n">
        <v>0</v>
      </c>
      <c r="O847" t="n">
        <v>0</v>
      </c>
      <c r="P847" t="n">
        <v>0</v>
      </c>
      <c r="Q847" t="n">
        <v>0</v>
      </c>
      <c r="R847" s="2" t="inlineStr"/>
    </row>
    <row r="848" ht="15" customHeight="1">
      <c r="A848" t="inlineStr">
        <is>
          <t>A 30864-2021</t>
        </is>
      </c>
      <c r="B848" s="1" t="n">
        <v>44365</v>
      </c>
      <c r="C848" s="1" t="n">
        <v>45952</v>
      </c>
      <c r="D848" t="inlineStr">
        <is>
          <t>ÖREBRO LÄN</t>
        </is>
      </c>
      <c r="E848" t="inlineStr">
        <is>
          <t>KUMLA</t>
        </is>
      </c>
      <c r="G848" t="n">
        <v>1</v>
      </c>
      <c r="H848" t="n">
        <v>0</v>
      </c>
      <c r="I848" t="n">
        <v>0</v>
      </c>
      <c r="J848" t="n">
        <v>0</v>
      </c>
      <c r="K848" t="n">
        <v>0</v>
      </c>
      <c r="L848" t="n">
        <v>0</v>
      </c>
      <c r="M848" t="n">
        <v>0</v>
      </c>
      <c r="N848" t="n">
        <v>0</v>
      </c>
      <c r="O848" t="n">
        <v>0</v>
      </c>
      <c r="P848" t="n">
        <v>0</v>
      </c>
      <c r="Q848" t="n">
        <v>0</v>
      </c>
      <c r="R848" s="2" t="inlineStr"/>
    </row>
    <row r="849" ht="15" customHeight="1">
      <c r="A849" t="inlineStr">
        <is>
          <t>A 47371-2022</t>
        </is>
      </c>
      <c r="B849" s="1" t="n">
        <v>44853</v>
      </c>
      <c r="C849" s="1" t="n">
        <v>45952</v>
      </c>
      <c r="D849" t="inlineStr">
        <is>
          <t>ÖREBRO LÄN</t>
        </is>
      </c>
      <c r="E849" t="inlineStr">
        <is>
          <t>ASKERSUND</t>
        </is>
      </c>
      <c r="G849" t="n">
        <v>9</v>
      </c>
      <c r="H849" t="n">
        <v>0</v>
      </c>
      <c r="I849" t="n">
        <v>0</v>
      </c>
      <c r="J849" t="n">
        <v>0</v>
      </c>
      <c r="K849" t="n">
        <v>0</v>
      </c>
      <c r="L849" t="n">
        <v>0</v>
      </c>
      <c r="M849" t="n">
        <v>0</v>
      </c>
      <c r="N849" t="n">
        <v>0</v>
      </c>
      <c r="O849" t="n">
        <v>0</v>
      </c>
      <c r="P849" t="n">
        <v>0</v>
      </c>
      <c r="Q849" t="n">
        <v>0</v>
      </c>
      <c r="R849" s="2" t="inlineStr"/>
    </row>
    <row r="850" ht="15" customHeight="1">
      <c r="A850" t="inlineStr">
        <is>
          <t>A 29997-2022</t>
        </is>
      </c>
      <c r="B850" s="1" t="n">
        <v>44756.86049768519</v>
      </c>
      <c r="C850" s="1" t="n">
        <v>45952</v>
      </c>
      <c r="D850" t="inlineStr">
        <is>
          <t>ÖREBRO LÄN</t>
        </is>
      </c>
      <c r="E850" t="inlineStr">
        <is>
          <t>ASKERSUND</t>
        </is>
      </c>
      <c r="G850" t="n">
        <v>4.8</v>
      </c>
      <c r="H850" t="n">
        <v>0</v>
      </c>
      <c r="I850" t="n">
        <v>0</v>
      </c>
      <c r="J850" t="n">
        <v>0</v>
      </c>
      <c r="K850" t="n">
        <v>0</v>
      </c>
      <c r="L850" t="n">
        <v>0</v>
      </c>
      <c r="M850" t="n">
        <v>0</v>
      </c>
      <c r="N850" t="n">
        <v>0</v>
      </c>
      <c r="O850" t="n">
        <v>0</v>
      </c>
      <c r="P850" t="n">
        <v>0</v>
      </c>
      <c r="Q850" t="n">
        <v>0</v>
      </c>
      <c r="R850" s="2" t="inlineStr"/>
    </row>
    <row r="851" ht="15" customHeight="1">
      <c r="A851" t="inlineStr">
        <is>
          <t>A 34193-2022</t>
        </is>
      </c>
      <c r="B851" s="1" t="n">
        <v>44791.63450231482</v>
      </c>
      <c r="C851" s="1" t="n">
        <v>45952</v>
      </c>
      <c r="D851" t="inlineStr">
        <is>
          <t>ÖREBRO LÄN</t>
        </is>
      </c>
      <c r="E851" t="inlineStr">
        <is>
          <t>NORA</t>
        </is>
      </c>
      <c r="F851" t="inlineStr">
        <is>
          <t>Sveaskog</t>
        </is>
      </c>
      <c r="G851" t="n">
        <v>0.9</v>
      </c>
      <c r="H851" t="n">
        <v>0</v>
      </c>
      <c r="I851" t="n">
        <v>0</v>
      </c>
      <c r="J851" t="n">
        <v>0</v>
      </c>
      <c r="K851" t="n">
        <v>0</v>
      </c>
      <c r="L851" t="n">
        <v>0</v>
      </c>
      <c r="M851" t="n">
        <v>0</v>
      </c>
      <c r="N851" t="n">
        <v>0</v>
      </c>
      <c r="O851" t="n">
        <v>0</v>
      </c>
      <c r="P851" t="n">
        <v>0</v>
      </c>
      <c r="Q851" t="n">
        <v>0</v>
      </c>
      <c r="R851" s="2" t="inlineStr"/>
    </row>
    <row r="852" ht="15" customHeight="1">
      <c r="A852" t="inlineStr">
        <is>
          <t>A 36350-2022</t>
        </is>
      </c>
      <c r="B852" s="1" t="n">
        <v>44803</v>
      </c>
      <c r="C852" s="1" t="n">
        <v>45952</v>
      </c>
      <c r="D852" t="inlineStr">
        <is>
          <t>ÖREBRO LÄN</t>
        </is>
      </c>
      <c r="E852" t="inlineStr">
        <is>
          <t>LAXÅ</t>
        </is>
      </c>
      <c r="F852" t="inlineStr">
        <is>
          <t>Sveaskog</t>
        </is>
      </c>
      <c r="G852" t="n">
        <v>1.4</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45952</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22869-2021</t>
        </is>
      </c>
      <c r="B854" s="1" t="n">
        <v>44328</v>
      </c>
      <c r="C854" s="1" t="n">
        <v>45952</v>
      </c>
      <c r="D854" t="inlineStr">
        <is>
          <t>ÖREBRO LÄN</t>
        </is>
      </c>
      <c r="E854" t="inlineStr">
        <is>
          <t>LJUSNARSBERG</t>
        </is>
      </c>
      <c r="F854" t="inlineStr">
        <is>
          <t>Bergvik skog väst AB</t>
        </is>
      </c>
      <c r="G854" t="n">
        <v>3.5</v>
      </c>
      <c r="H854" t="n">
        <v>0</v>
      </c>
      <c r="I854" t="n">
        <v>0</v>
      </c>
      <c r="J854" t="n">
        <v>0</v>
      </c>
      <c r="K854" t="n">
        <v>0</v>
      </c>
      <c r="L854" t="n">
        <v>0</v>
      </c>
      <c r="M854" t="n">
        <v>0</v>
      </c>
      <c r="N854" t="n">
        <v>0</v>
      </c>
      <c r="O854" t="n">
        <v>0</v>
      </c>
      <c r="P854" t="n">
        <v>0</v>
      </c>
      <c r="Q854" t="n">
        <v>0</v>
      </c>
      <c r="R854" s="2" t="inlineStr"/>
    </row>
    <row r="855" ht="15" customHeight="1">
      <c r="A855" t="inlineStr">
        <is>
          <t>A 34515-2021</t>
        </is>
      </c>
      <c r="B855" s="1" t="n">
        <v>44379</v>
      </c>
      <c r="C855" s="1" t="n">
        <v>45952</v>
      </c>
      <c r="D855" t="inlineStr">
        <is>
          <t>ÖREBRO LÄN</t>
        </is>
      </c>
      <c r="E855" t="inlineStr">
        <is>
          <t>LAXÅ</t>
        </is>
      </c>
      <c r="G855" t="n">
        <v>0.6</v>
      </c>
      <c r="H855" t="n">
        <v>0</v>
      </c>
      <c r="I855" t="n">
        <v>0</v>
      </c>
      <c r="J855" t="n">
        <v>0</v>
      </c>
      <c r="K855" t="n">
        <v>0</v>
      </c>
      <c r="L855" t="n">
        <v>0</v>
      </c>
      <c r="M855" t="n">
        <v>0</v>
      </c>
      <c r="N855" t="n">
        <v>0</v>
      </c>
      <c r="O855" t="n">
        <v>0</v>
      </c>
      <c r="P855" t="n">
        <v>0</v>
      </c>
      <c r="Q855" t="n">
        <v>0</v>
      </c>
      <c r="R855" s="2" t="inlineStr"/>
    </row>
    <row r="856" ht="15" customHeight="1">
      <c r="A856" t="inlineStr">
        <is>
          <t>A 1577-2021</t>
        </is>
      </c>
      <c r="B856" s="1" t="n">
        <v>44209</v>
      </c>
      <c r="C856" s="1" t="n">
        <v>45952</v>
      </c>
      <c r="D856" t="inlineStr">
        <is>
          <t>ÖREBRO LÄN</t>
        </is>
      </c>
      <c r="E856" t="inlineStr">
        <is>
          <t>LJUSNARSBERG</t>
        </is>
      </c>
      <c r="G856" t="n">
        <v>4.4</v>
      </c>
      <c r="H856" t="n">
        <v>0</v>
      </c>
      <c r="I856" t="n">
        <v>0</v>
      </c>
      <c r="J856" t="n">
        <v>0</v>
      </c>
      <c r="K856" t="n">
        <v>0</v>
      </c>
      <c r="L856" t="n">
        <v>0</v>
      </c>
      <c r="M856" t="n">
        <v>0</v>
      </c>
      <c r="N856" t="n">
        <v>0</v>
      </c>
      <c r="O856" t="n">
        <v>0</v>
      </c>
      <c r="P856" t="n">
        <v>0</v>
      </c>
      <c r="Q856" t="n">
        <v>0</v>
      </c>
      <c r="R856" s="2" t="inlineStr"/>
    </row>
    <row r="857" ht="15" customHeight="1">
      <c r="A857" t="inlineStr">
        <is>
          <t>A 1601-2021</t>
        </is>
      </c>
      <c r="B857" s="1" t="n">
        <v>44209</v>
      </c>
      <c r="C857" s="1" t="n">
        <v>45952</v>
      </c>
      <c r="D857" t="inlineStr">
        <is>
          <t>ÖREBRO LÄN</t>
        </is>
      </c>
      <c r="E857" t="inlineStr">
        <is>
          <t>ASKERSUND</t>
        </is>
      </c>
      <c r="G857" t="n">
        <v>2.2</v>
      </c>
      <c r="H857" t="n">
        <v>0</v>
      </c>
      <c r="I857" t="n">
        <v>0</v>
      </c>
      <c r="J857" t="n">
        <v>0</v>
      </c>
      <c r="K857" t="n">
        <v>0</v>
      </c>
      <c r="L857" t="n">
        <v>0</v>
      </c>
      <c r="M857" t="n">
        <v>0</v>
      </c>
      <c r="N857" t="n">
        <v>0</v>
      </c>
      <c r="O857" t="n">
        <v>0</v>
      </c>
      <c r="P857" t="n">
        <v>0</v>
      </c>
      <c r="Q857" t="n">
        <v>0</v>
      </c>
      <c r="R857" s="2" t="inlineStr"/>
    </row>
    <row r="858" ht="15" customHeight="1">
      <c r="A858" t="inlineStr">
        <is>
          <t>A 22673-2022</t>
        </is>
      </c>
      <c r="B858" s="1" t="n">
        <v>44714.49141203704</v>
      </c>
      <c r="C858" s="1" t="n">
        <v>45952</v>
      </c>
      <c r="D858" t="inlineStr">
        <is>
          <t>ÖREBRO LÄN</t>
        </is>
      </c>
      <c r="E858" t="inlineStr">
        <is>
          <t>HÄLLEFORS</t>
        </is>
      </c>
      <c r="G858" t="n">
        <v>0.5</v>
      </c>
      <c r="H858" t="n">
        <v>0</v>
      </c>
      <c r="I858" t="n">
        <v>0</v>
      </c>
      <c r="J858" t="n">
        <v>0</v>
      </c>
      <c r="K858" t="n">
        <v>0</v>
      </c>
      <c r="L858" t="n">
        <v>0</v>
      </c>
      <c r="M858" t="n">
        <v>0</v>
      </c>
      <c r="N858" t="n">
        <v>0</v>
      </c>
      <c r="O858" t="n">
        <v>0</v>
      </c>
      <c r="P858" t="n">
        <v>0</v>
      </c>
      <c r="Q858" t="n">
        <v>0</v>
      </c>
      <c r="R858" s="2" t="inlineStr"/>
    </row>
    <row r="859" ht="15" customHeight="1">
      <c r="A859" t="inlineStr">
        <is>
          <t>A 43941-2022</t>
        </is>
      </c>
      <c r="B859" s="1" t="n">
        <v>44838.57731481481</v>
      </c>
      <c r="C859" s="1" t="n">
        <v>45952</v>
      </c>
      <c r="D859" t="inlineStr">
        <is>
          <t>ÖREBRO LÄN</t>
        </is>
      </c>
      <c r="E859" t="inlineStr">
        <is>
          <t>NORA</t>
        </is>
      </c>
      <c r="F859" t="inlineStr">
        <is>
          <t>Sveaskog</t>
        </is>
      </c>
      <c r="G859" t="n">
        <v>8.4</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45952</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44099-2021</t>
        </is>
      </c>
      <c r="B861" s="1" t="n">
        <v>44434</v>
      </c>
      <c r="C861" s="1" t="n">
        <v>45952</v>
      </c>
      <c r="D861" t="inlineStr">
        <is>
          <t>ÖREBRO LÄN</t>
        </is>
      </c>
      <c r="E861" t="inlineStr">
        <is>
          <t>LAXÅ</t>
        </is>
      </c>
      <c r="F861" t="inlineStr">
        <is>
          <t>Sveaskog</t>
        </is>
      </c>
      <c r="G861" t="n">
        <v>2.1</v>
      </c>
      <c r="H861" t="n">
        <v>0</v>
      </c>
      <c r="I861" t="n">
        <v>0</v>
      </c>
      <c r="J861" t="n">
        <v>0</v>
      </c>
      <c r="K861" t="n">
        <v>0</v>
      </c>
      <c r="L861" t="n">
        <v>0</v>
      </c>
      <c r="M861" t="n">
        <v>0</v>
      </c>
      <c r="N861" t="n">
        <v>0</v>
      </c>
      <c r="O861" t="n">
        <v>0</v>
      </c>
      <c r="P861" t="n">
        <v>0</v>
      </c>
      <c r="Q861" t="n">
        <v>0</v>
      </c>
      <c r="R861" s="2" t="inlineStr"/>
    </row>
    <row r="862" ht="15" customHeight="1">
      <c r="A862" t="inlineStr">
        <is>
          <t>A 37277-2021</t>
        </is>
      </c>
      <c r="B862" s="1" t="n">
        <v>44397</v>
      </c>
      <c r="C862" s="1" t="n">
        <v>45952</v>
      </c>
      <c r="D862" t="inlineStr">
        <is>
          <t>ÖREBRO LÄN</t>
        </is>
      </c>
      <c r="E862" t="inlineStr">
        <is>
          <t>ASKERSUND</t>
        </is>
      </c>
      <c r="G862" t="n">
        <v>2.4</v>
      </c>
      <c r="H862" t="n">
        <v>0</v>
      </c>
      <c r="I862" t="n">
        <v>0</v>
      </c>
      <c r="J862" t="n">
        <v>0</v>
      </c>
      <c r="K862" t="n">
        <v>0</v>
      </c>
      <c r="L862" t="n">
        <v>0</v>
      </c>
      <c r="M862" t="n">
        <v>0</v>
      </c>
      <c r="N862" t="n">
        <v>0</v>
      </c>
      <c r="O862" t="n">
        <v>0</v>
      </c>
      <c r="P862" t="n">
        <v>0</v>
      </c>
      <c r="Q862" t="n">
        <v>0</v>
      </c>
      <c r="R862" s="2" t="inlineStr"/>
    </row>
    <row r="863" ht="15" customHeight="1">
      <c r="A863" t="inlineStr">
        <is>
          <t>A 51605-2022</t>
        </is>
      </c>
      <c r="B863" s="1" t="n">
        <v>44871.71204861111</v>
      </c>
      <c r="C863" s="1" t="n">
        <v>45952</v>
      </c>
      <c r="D863" t="inlineStr">
        <is>
          <t>ÖREBRO LÄN</t>
        </is>
      </c>
      <c r="E863" t="inlineStr">
        <is>
          <t>HÄLLEFORS</t>
        </is>
      </c>
      <c r="G863" t="n">
        <v>9.800000000000001</v>
      </c>
      <c r="H863" t="n">
        <v>0</v>
      </c>
      <c r="I863" t="n">
        <v>0</v>
      </c>
      <c r="J863" t="n">
        <v>0</v>
      </c>
      <c r="K863" t="n">
        <v>0</v>
      </c>
      <c r="L863" t="n">
        <v>0</v>
      </c>
      <c r="M863" t="n">
        <v>0</v>
      </c>
      <c r="N863" t="n">
        <v>0</v>
      </c>
      <c r="O863" t="n">
        <v>0</v>
      </c>
      <c r="P863" t="n">
        <v>0</v>
      </c>
      <c r="Q863" t="n">
        <v>0</v>
      </c>
      <c r="R863" s="2" t="inlineStr"/>
    </row>
    <row r="864" ht="15" customHeight="1">
      <c r="A864" t="inlineStr">
        <is>
          <t>A 68250-2020</t>
        </is>
      </c>
      <c r="B864" s="1" t="n">
        <v>44183</v>
      </c>
      <c r="C864" s="1" t="n">
        <v>45952</v>
      </c>
      <c r="D864" t="inlineStr">
        <is>
          <t>ÖREBRO LÄN</t>
        </is>
      </c>
      <c r="E864" t="inlineStr">
        <is>
          <t>LEKEBERG</t>
        </is>
      </c>
      <c r="G864" t="n">
        <v>2.9</v>
      </c>
      <c r="H864" t="n">
        <v>0</v>
      </c>
      <c r="I864" t="n">
        <v>0</v>
      </c>
      <c r="J864" t="n">
        <v>0</v>
      </c>
      <c r="K864" t="n">
        <v>0</v>
      </c>
      <c r="L864" t="n">
        <v>0</v>
      </c>
      <c r="M864" t="n">
        <v>0</v>
      </c>
      <c r="N864" t="n">
        <v>0</v>
      </c>
      <c r="O864" t="n">
        <v>0</v>
      </c>
      <c r="P864" t="n">
        <v>0</v>
      </c>
      <c r="Q864" t="n">
        <v>0</v>
      </c>
      <c r="R864" s="2" t="inlineStr"/>
    </row>
    <row r="865" ht="15" customHeight="1">
      <c r="A865" t="inlineStr">
        <is>
          <t>A 10041-2022</t>
        </is>
      </c>
      <c r="B865" s="1" t="n">
        <v>44621</v>
      </c>
      <c r="C865" s="1" t="n">
        <v>45952</v>
      </c>
      <c r="D865" t="inlineStr">
        <is>
          <t>ÖREBRO LÄN</t>
        </is>
      </c>
      <c r="E865" t="inlineStr">
        <is>
          <t>LAXÅ</t>
        </is>
      </c>
      <c r="G865" t="n">
        <v>2</v>
      </c>
      <c r="H865" t="n">
        <v>0</v>
      </c>
      <c r="I865" t="n">
        <v>0</v>
      </c>
      <c r="J865" t="n">
        <v>0</v>
      </c>
      <c r="K865" t="n">
        <v>0</v>
      </c>
      <c r="L865" t="n">
        <v>0</v>
      </c>
      <c r="M865" t="n">
        <v>0</v>
      </c>
      <c r="N865" t="n">
        <v>0</v>
      </c>
      <c r="O865" t="n">
        <v>0</v>
      </c>
      <c r="P865" t="n">
        <v>0</v>
      </c>
      <c r="Q865" t="n">
        <v>0</v>
      </c>
      <c r="R865" s="2" t="inlineStr"/>
    </row>
    <row r="866" ht="15" customHeight="1">
      <c r="A866" t="inlineStr">
        <is>
          <t>A 41207-2022</t>
        </is>
      </c>
      <c r="B866" s="1" t="n">
        <v>44825.99293981482</v>
      </c>
      <c r="C866" s="1" t="n">
        <v>45952</v>
      </c>
      <c r="D866" t="inlineStr">
        <is>
          <t>ÖREBRO LÄN</t>
        </is>
      </c>
      <c r="E866" t="inlineStr">
        <is>
          <t>LINDESBERG</t>
        </is>
      </c>
      <c r="F866" t="inlineStr">
        <is>
          <t>Sveaskog</t>
        </is>
      </c>
      <c r="G866" t="n">
        <v>1.4</v>
      </c>
      <c r="H866" t="n">
        <v>0</v>
      </c>
      <c r="I866" t="n">
        <v>0</v>
      </c>
      <c r="J866" t="n">
        <v>0</v>
      </c>
      <c r="K866" t="n">
        <v>0</v>
      </c>
      <c r="L866" t="n">
        <v>0</v>
      </c>
      <c r="M866" t="n">
        <v>0</v>
      </c>
      <c r="N866" t="n">
        <v>0</v>
      </c>
      <c r="O866" t="n">
        <v>0</v>
      </c>
      <c r="P866" t="n">
        <v>0</v>
      </c>
      <c r="Q866" t="n">
        <v>0</v>
      </c>
      <c r="R866" s="2" t="inlineStr"/>
    </row>
    <row r="867" ht="15" customHeight="1">
      <c r="A867" t="inlineStr">
        <is>
          <t>A 25773-2022</t>
        </is>
      </c>
      <c r="B867" s="1" t="n">
        <v>44733.46353009259</v>
      </c>
      <c r="C867" s="1" t="n">
        <v>45952</v>
      </c>
      <c r="D867" t="inlineStr">
        <is>
          <t>ÖREBRO LÄN</t>
        </is>
      </c>
      <c r="E867" t="inlineStr">
        <is>
          <t>LJUSNARSBERG</t>
        </is>
      </c>
      <c r="G867" t="n">
        <v>3.8</v>
      </c>
      <c r="H867" t="n">
        <v>0</v>
      </c>
      <c r="I867" t="n">
        <v>0</v>
      </c>
      <c r="J867" t="n">
        <v>0</v>
      </c>
      <c r="K867" t="n">
        <v>0</v>
      </c>
      <c r="L867" t="n">
        <v>0</v>
      </c>
      <c r="M867" t="n">
        <v>0</v>
      </c>
      <c r="N867" t="n">
        <v>0</v>
      </c>
      <c r="O867" t="n">
        <v>0</v>
      </c>
      <c r="P867" t="n">
        <v>0</v>
      </c>
      <c r="Q867" t="n">
        <v>0</v>
      </c>
      <c r="R867" s="2" t="inlineStr"/>
    </row>
    <row r="868" ht="15" customHeight="1">
      <c r="A868" t="inlineStr">
        <is>
          <t>A 44677-2021</t>
        </is>
      </c>
      <c r="B868" s="1" t="n">
        <v>44438.30614583333</v>
      </c>
      <c r="C868" s="1" t="n">
        <v>45952</v>
      </c>
      <c r="D868" t="inlineStr">
        <is>
          <t>ÖREBRO LÄN</t>
        </is>
      </c>
      <c r="E868" t="inlineStr">
        <is>
          <t>LINDESBERG</t>
        </is>
      </c>
      <c r="F868" t="inlineStr">
        <is>
          <t>Sveaskog</t>
        </is>
      </c>
      <c r="G868" t="n">
        <v>2.1</v>
      </c>
      <c r="H868" t="n">
        <v>0</v>
      </c>
      <c r="I868" t="n">
        <v>0</v>
      </c>
      <c r="J868" t="n">
        <v>0</v>
      </c>
      <c r="K868" t="n">
        <v>0</v>
      </c>
      <c r="L868" t="n">
        <v>0</v>
      </c>
      <c r="M868" t="n">
        <v>0</v>
      </c>
      <c r="N868" t="n">
        <v>0</v>
      </c>
      <c r="O868" t="n">
        <v>0</v>
      </c>
      <c r="P868" t="n">
        <v>0</v>
      </c>
      <c r="Q868" t="n">
        <v>0</v>
      </c>
      <c r="R868" s="2" t="inlineStr"/>
    </row>
    <row r="869" ht="15" customHeight="1">
      <c r="A869" t="inlineStr">
        <is>
          <t>A 40643-2021</t>
        </is>
      </c>
      <c r="B869" s="1" t="n">
        <v>44420</v>
      </c>
      <c r="C869" s="1" t="n">
        <v>45952</v>
      </c>
      <c r="D869" t="inlineStr">
        <is>
          <t>ÖREBRO LÄN</t>
        </is>
      </c>
      <c r="E869" t="inlineStr">
        <is>
          <t>NORA</t>
        </is>
      </c>
      <c r="G869" t="n">
        <v>0.6</v>
      </c>
      <c r="H869" t="n">
        <v>0</v>
      </c>
      <c r="I869" t="n">
        <v>0</v>
      </c>
      <c r="J869" t="n">
        <v>0</v>
      </c>
      <c r="K869" t="n">
        <v>0</v>
      </c>
      <c r="L869" t="n">
        <v>0</v>
      </c>
      <c r="M869" t="n">
        <v>0</v>
      </c>
      <c r="N869" t="n">
        <v>0</v>
      </c>
      <c r="O869" t="n">
        <v>0</v>
      </c>
      <c r="P869" t="n">
        <v>0</v>
      </c>
      <c r="Q869" t="n">
        <v>0</v>
      </c>
      <c r="R869" s="2" t="inlineStr"/>
    </row>
    <row r="870" ht="15" customHeight="1">
      <c r="A870" t="inlineStr">
        <is>
          <t>A 11661-2022</t>
        </is>
      </c>
      <c r="B870" s="1" t="n">
        <v>44632</v>
      </c>
      <c r="C870" s="1" t="n">
        <v>45952</v>
      </c>
      <c r="D870" t="inlineStr">
        <is>
          <t>ÖREBRO LÄN</t>
        </is>
      </c>
      <c r="E870" t="inlineStr">
        <is>
          <t>LEKEBERG</t>
        </is>
      </c>
      <c r="G870" t="n">
        <v>0.8</v>
      </c>
      <c r="H870" t="n">
        <v>0</v>
      </c>
      <c r="I870" t="n">
        <v>0</v>
      </c>
      <c r="J870" t="n">
        <v>0</v>
      </c>
      <c r="K870" t="n">
        <v>0</v>
      </c>
      <c r="L870" t="n">
        <v>0</v>
      </c>
      <c r="M870" t="n">
        <v>0</v>
      </c>
      <c r="N870" t="n">
        <v>0</v>
      </c>
      <c r="O870" t="n">
        <v>0</v>
      </c>
      <c r="P870" t="n">
        <v>0</v>
      </c>
      <c r="Q870" t="n">
        <v>0</v>
      </c>
      <c r="R870" s="2" t="inlineStr"/>
    </row>
    <row r="871" ht="15" customHeight="1">
      <c r="A871" t="inlineStr">
        <is>
          <t>A 52259-2021</t>
        </is>
      </c>
      <c r="B871" s="1" t="n">
        <v>44463</v>
      </c>
      <c r="C871" s="1" t="n">
        <v>45952</v>
      </c>
      <c r="D871" t="inlineStr">
        <is>
          <t>ÖREBRO LÄN</t>
        </is>
      </c>
      <c r="E871" t="inlineStr">
        <is>
          <t>ASKERSUND</t>
        </is>
      </c>
      <c r="F871" t="inlineStr">
        <is>
          <t>Sveaskog</t>
        </is>
      </c>
      <c r="G871" t="n">
        <v>1.8</v>
      </c>
      <c r="H871" t="n">
        <v>0</v>
      </c>
      <c r="I871" t="n">
        <v>0</v>
      </c>
      <c r="J871" t="n">
        <v>0</v>
      </c>
      <c r="K871" t="n">
        <v>0</v>
      </c>
      <c r="L871" t="n">
        <v>0</v>
      </c>
      <c r="M871" t="n">
        <v>0</v>
      </c>
      <c r="N871" t="n">
        <v>0</v>
      </c>
      <c r="O871" t="n">
        <v>0</v>
      </c>
      <c r="P871" t="n">
        <v>0</v>
      </c>
      <c r="Q871" t="n">
        <v>0</v>
      </c>
      <c r="R871" s="2" t="inlineStr"/>
    </row>
    <row r="872" ht="15" customHeight="1">
      <c r="A872" t="inlineStr">
        <is>
          <t>A 49645-2022</t>
        </is>
      </c>
      <c r="B872" s="1" t="n">
        <v>44862.44369212963</v>
      </c>
      <c r="C872" s="1" t="n">
        <v>45952</v>
      </c>
      <c r="D872" t="inlineStr">
        <is>
          <t>ÖREBRO LÄN</t>
        </is>
      </c>
      <c r="E872" t="inlineStr">
        <is>
          <t>HALLSBERG</t>
        </is>
      </c>
      <c r="G872" t="n">
        <v>1.7</v>
      </c>
      <c r="H872" t="n">
        <v>0</v>
      </c>
      <c r="I872" t="n">
        <v>0</v>
      </c>
      <c r="J872" t="n">
        <v>0</v>
      </c>
      <c r="K872" t="n">
        <v>0</v>
      </c>
      <c r="L872" t="n">
        <v>0</v>
      </c>
      <c r="M872" t="n">
        <v>0</v>
      </c>
      <c r="N872" t="n">
        <v>0</v>
      </c>
      <c r="O872" t="n">
        <v>0</v>
      </c>
      <c r="P872" t="n">
        <v>0</v>
      </c>
      <c r="Q872" t="n">
        <v>0</v>
      </c>
      <c r="R872" s="2" t="inlineStr"/>
    </row>
    <row r="873" ht="15" customHeight="1">
      <c r="A873" t="inlineStr">
        <is>
          <t>A 15086-2022</t>
        </is>
      </c>
      <c r="B873" s="1" t="n">
        <v>44657</v>
      </c>
      <c r="C873" s="1" t="n">
        <v>45952</v>
      </c>
      <c r="D873" t="inlineStr">
        <is>
          <t>ÖREBRO LÄN</t>
        </is>
      </c>
      <c r="E873" t="inlineStr">
        <is>
          <t>HALLSBERG</t>
        </is>
      </c>
      <c r="G873" t="n">
        <v>5.1</v>
      </c>
      <c r="H873" t="n">
        <v>0</v>
      </c>
      <c r="I873" t="n">
        <v>0</v>
      </c>
      <c r="J873" t="n">
        <v>0</v>
      </c>
      <c r="K873" t="n">
        <v>0</v>
      </c>
      <c r="L873" t="n">
        <v>0</v>
      </c>
      <c r="M873" t="n">
        <v>0</v>
      </c>
      <c r="N873" t="n">
        <v>0</v>
      </c>
      <c r="O873" t="n">
        <v>0</v>
      </c>
      <c r="P873" t="n">
        <v>0</v>
      </c>
      <c r="Q873" t="n">
        <v>0</v>
      </c>
      <c r="R873" s="2" t="inlineStr"/>
    </row>
    <row r="874" ht="15" customHeight="1">
      <c r="A874" t="inlineStr">
        <is>
          <t>A 35976-2022</t>
        </is>
      </c>
      <c r="B874" s="1" t="n">
        <v>44690</v>
      </c>
      <c r="C874" s="1" t="n">
        <v>45952</v>
      </c>
      <c r="D874" t="inlineStr">
        <is>
          <t>ÖREBRO LÄN</t>
        </is>
      </c>
      <c r="E874" t="inlineStr">
        <is>
          <t>LJUSNARSBERG</t>
        </is>
      </c>
      <c r="F874" t="inlineStr">
        <is>
          <t>Bergvik skog väst AB</t>
        </is>
      </c>
      <c r="G874" t="n">
        <v>0.7</v>
      </c>
      <c r="H874" t="n">
        <v>0</v>
      </c>
      <c r="I874" t="n">
        <v>0</v>
      </c>
      <c r="J874" t="n">
        <v>0</v>
      </c>
      <c r="K874" t="n">
        <v>0</v>
      </c>
      <c r="L874" t="n">
        <v>0</v>
      </c>
      <c r="M874" t="n">
        <v>0</v>
      </c>
      <c r="N874" t="n">
        <v>0</v>
      </c>
      <c r="O874" t="n">
        <v>0</v>
      </c>
      <c r="P874" t="n">
        <v>0</v>
      </c>
      <c r="Q874" t="n">
        <v>0</v>
      </c>
      <c r="R874" s="2" t="inlineStr"/>
    </row>
    <row r="875" ht="15" customHeight="1">
      <c r="A875" t="inlineStr">
        <is>
          <t>A 38276-2022</t>
        </is>
      </c>
      <c r="B875" s="1" t="n">
        <v>44812</v>
      </c>
      <c r="C875" s="1" t="n">
        <v>45952</v>
      </c>
      <c r="D875" t="inlineStr">
        <is>
          <t>ÖREBRO LÄN</t>
        </is>
      </c>
      <c r="E875" t="inlineStr">
        <is>
          <t>LJUSNARSBERG</t>
        </is>
      </c>
      <c r="G875" t="n">
        <v>0.6</v>
      </c>
      <c r="H875" t="n">
        <v>0</v>
      </c>
      <c r="I875" t="n">
        <v>0</v>
      </c>
      <c r="J875" t="n">
        <v>0</v>
      </c>
      <c r="K875" t="n">
        <v>0</v>
      </c>
      <c r="L875" t="n">
        <v>0</v>
      </c>
      <c r="M875" t="n">
        <v>0</v>
      </c>
      <c r="N875" t="n">
        <v>0</v>
      </c>
      <c r="O875" t="n">
        <v>0</v>
      </c>
      <c r="P875" t="n">
        <v>0</v>
      </c>
      <c r="Q875" t="n">
        <v>0</v>
      </c>
      <c r="R875" s="2" t="inlineStr"/>
    </row>
    <row r="876" ht="15" customHeight="1">
      <c r="A876" t="inlineStr">
        <is>
          <t>A 48154-2021</t>
        </is>
      </c>
      <c r="B876" s="1" t="n">
        <v>44449</v>
      </c>
      <c r="C876" s="1" t="n">
        <v>45952</v>
      </c>
      <c r="D876" t="inlineStr">
        <is>
          <t>ÖREBRO LÄN</t>
        </is>
      </c>
      <c r="E876" t="inlineStr">
        <is>
          <t>LINDESBERG</t>
        </is>
      </c>
      <c r="G876" t="n">
        <v>0.4</v>
      </c>
      <c r="H876" t="n">
        <v>0</v>
      </c>
      <c r="I876" t="n">
        <v>0</v>
      </c>
      <c r="J876" t="n">
        <v>0</v>
      </c>
      <c r="K876" t="n">
        <v>0</v>
      </c>
      <c r="L876" t="n">
        <v>0</v>
      </c>
      <c r="M876" t="n">
        <v>0</v>
      </c>
      <c r="N876" t="n">
        <v>0</v>
      </c>
      <c r="O876" t="n">
        <v>0</v>
      </c>
      <c r="P876" t="n">
        <v>0</v>
      </c>
      <c r="Q876" t="n">
        <v>0</v>
      </c>
      <c r="R876" s="2" t="inlineStr"/>
    </row>
    <row r="877" ht="15" customHeight="1">
      <c r="A877" t="inlineStr">
        <is>
          <t>A 70475-2021</t>
        </is>
      </c>
      <c r="B877" s="1" t="n">
        <v>44536</v>
      </c>
      <c r="C877" s="1" t="n">
        <v>45952</v>
      </c>
      <c r="D877" t="inlineStr">
        <is>
          <t>ÖREBRO LÄN</t>
        </is>
      </c>
      <c r="E877" t="inlineStr">
        <is>
          <t>LINDESBERG</t>
        </is>
      </c>
      <c r="G877" t="n">
        <v>0.7</v>
      </c>
      <c r="H877" t="n">
        <v>0</v>
      </c>
      <c r="I877" t="n">
        <v>0</v>
      </c>
      <c r="J877" t="n">
        <v>0</v>
      </c>
      <c r="K877" t="n">
        <v>0</v>
      </c>
      <c r="L877" t="n">
        <v>0</v>
      </c>
      <c r="M877" t="n">
        <v>0</v>
      </c>
      <c r="N877" t="n">
        <v>0</v>
      </c>
      <c r="O877" t="n">
        <v>0</v>
      </c>
      <c r="P877" t="n">
        <v>0</v>
      </c>
      <c r="Q877" t="n">
        <v>0</v>
      </c>
      <c r="R877" s="2" t="inlineStr"/>
    </row>
    <row r="878" ht="15" customHeight="1">
      <c r="A878" t="inlineStr">
        <is>
          <t>A 10277-2022</t>
        </is>
      </c>
      <c r="B878" s="1" t="n">
        <v>44622.69101851852</v>
      </c>
      <c r="C878" s="1" t="n">
        <v>45952</v>
      </c>
      <c r="D878" t="inlineStr">
        <is>
          <t>ÖREBRO LÄN</t>
        </is>
      </c>
      <c r="E878" t="inlineStr">
        <is>
          <t>LINDESBERG</t>
        </is>
      </c>
      <c r="G878" t="n">
        <v>4.2</v>
      </c>
      <c r="H878" t="n">
        <v>0</v>
      </c>
      <c r="I878" t="n">
        <v>0</v>
      </c>
      <c r="J878" t="n">
        <v>0</v>
      </c>
      <c r="K878" t="n">
        <v>0</v>
      </c>
      <c r="L878" t="n">
        <v>0</v>
      </c>
      <c r="M878" t="n">
        <v>0</v>
      </c>
      <c r="N878" t="n">
        <v>0</v>
      </c>
      <c r="O878" t="n">
        <v>0</v>
      </c>
      <c r="P878" t="n">
        <v>0</v>
      </c>
      <c r="Q878" t="n">
        <v>0</v>
      </c>
      <c r="R878" s="2" t="inlineStr"/>
    </row>
    <row r="879" ht="15" customHeight="1">
      <c r="A879" t="inlineStr">
        <is>
          <t>A 10290-2021</t>
        </is>
      </c>
      <c r="B879" s="1" t="n">
        <v>44256</v>
      </c>
      <c r="C879" s="1" t="n">
        <v>45952</v>
      </c>
      <c r="D879" t="inlineStr">
        <is>
          <t>ÖREBRO LÄN</t>
        </is>
      </c>
      <c r="E879" t="inlineStr">
        <is>
          <t>ASKERSUND</t>
        </is>
      </c>
      <c r="G879" t="n">
        <v>5.2</v>
      </c>
      <c r="H879" t="n">
        <v>0</v>
      </c>
      <c r="I879" t="n">
        <v>0</v>
      </c>
      <c r="J879" t="n">
        <v>0</v>
      </c>
      <c r="K879" t="n">
        <v>0</v>
      </c>
      <c r="L879" t="n">
        <v>0</v>
      </c>
      <c r="M879" t="n">
        <v>0</v>
      </c>
      <c r="N879" t="n">
        <v>0</v>
      </c>
      <c r="O879" t="n">
        <v>0</v>
      </c>
      <c r="P879" t="n">
        <v>0</v>
      </c>
      <c r="Q879" t="n">
        <v>0</v>
      </c>
      <c r="R879" s="2" t="inlineStr"/>
    </row>
    <row r="880" ht="15" customHeight="1">
      <c r="A880" t="inlineStr">
        <is>
          <t>A 22650-2022</t>
        </is>
      </c>
      <c r="B880" s="1" t="n">
        <v>44714</v>
      </c>
      <c r="C880" s="1" t="n">
        <v>45952</v>
      </c>
      <c r="D880" t="inlineStr">
        <is>
          <t>ÖREBRO LÄN</t>
        </is>
      </c>
      <c r="E880" t="inlineStr">
        <is>
          <t>NORA</t>
        </is>
      </c>
      <c r="F880" t="inlineStr">
        <is>
          <t>Kommuner</t>
        </is>
      </c>
      <c r="G880" t="n">
        <v>2</v>
      </c>
      <c r="H880" t="n">
        <v>0</v>
      </c>
      <c r="I880" t="n">
        <v>0</v>
      </c>
      <c r="J880" t="n">
        <v>0</v>
      </c>
      <c r="K880" t="n">
        <v>0</v>
      </c>
      <c r="L880" t="n">
        <v>0</v>
      </c>
      <c r="M880" t="n">
        <v>0</v>
      </c>
      <c r="N880" t="n">
        <v>0</v>
      </c>
      <c r="O880" t="n">
        <v>0</v>
      </c>
      <c r="P880" t="n">
        <v>0</v>
      </c>
      <c r="Q880" t="n">
        <v>0</v>
      </c>
      <c r="R880" s="2" t="inlineStr"/>
    </row>
    <row r="881" ht="15" customHeight="1">
      <c r="A881" t="inlineStr">
        <is>
          <t>A 38484-2021</t>
        </is>
      </c>
      <c r="B881" s="1" t="n">
        <v>44407</v>
      </c>
      <c r="C881" s="1" t="n">
        <v>45952</v>
      </c>
      <c r="D881" t="inlineStr">
        <is>
          <t>ÖREBRO LÄN</t>
        </is>
      </c>
      <c r="E881" t="inlineStr">
        <is>
          <t>ASKERSUND</t>
        </is>
      </c>
      <c r="G881" t="n">
        <v>2.8</v>
      </c>
      <c r="H881" t="n">
        <v>0</v>
      </c>
      <c r="I881" t="n">
        <v>0</v>
      </c>
      <c r="J881" t="n">
        <v>0</v>
      </c>
      <c r="K881" t="n">
        <v>0</v>
      </c>
      <c r="L881" t="n">
        <v>0</v>
      </c>
      <c r="M881" t="n">
        <v>0</v>
      </c>
      <c r="N881" t="n">
        <v>0</v>
      </c>
      <c r="O881" t="n">
        <v>0</v>
      </c>
      <c r="P881" t="n">
        <v>0</v>
      </c>
      <c r="Q881" t="n">
        <v>0</v>
      </c>
      <c r="R881" s="2" t="inlineStr"/>
    </row>
    <row r="882" ht="15" customHeight="1">
      <c r="A882" t="inlineStr">
        <is>
          <t>A 26870-2022</t>
        </is>
      </c>
      <c r="B882" s="1" t="n">
        <v>44740.53197916667</v>
      </c>
      <c r="C882" s="1" t="n">
        <v>45952</v>
      </c>
      <c r="D882" t="inlineStr">
        <is>
          <t>ÖREBRO LÄN</t>
        </is>
      </c>
      <c r="E882" t="inlineStr">
        <is>
          <t>NORA</t>
        </is>
      </c>
      <c r="F882" t="inlineStr">
        <is>
          <t>Sveaskog</t>
        </is>
      </c>
      <c r="G882" t="n">
        <v>7.1</v>
      </c>
      <c r="H882" t="n">
        <v>0</v>
      </c>
      <c r="I882" t="n">
        <v>0</v>
      </c>
      <c r="J882" t="n">
        <v>0</v>
      </c>
      <c r="K882" t="n">
        <v>0</v>
      </c>
      <c r="L882" t="n">
        <v>0</v>
      </c>
      <c r="M882" t="n">
        <v>0</v>
      </c>
      <c r="N882" t="n">
        <v>0</v>
      </c>
      <c r="O882" t="n">
        <v>0</v>
      </c>
      <c r="P882" t="n">
        <v>0</v>
      </c>
      <c r="Q882" t="n">
        <v>0</v>
      </c>
      <c r="R882" s="2" t="inlineStr"/>
    </row>
    <row r="883" ht="15" customHeight="1">
      <c r="A883" t="inlineStr">
        <is>
          <t>A 66676-2020</t>
        </is>
      </c>
      <c r="B883" s="1" t="n">
        <v>44179</v>
      </c>
      <c r="C883" s="1" t="n">
        <v>45952</v>
      </c>
      <c r="D883" t="inlineStr">
        <is>
          <t>ÖREBRO LÄN</t>
        </is>
      </c>
      <c r="E883" t="inlineStr">
        <is>
          <t>LINDESBERG</t>
        </is>
      </c>
      <c r="F883" t="inlineStr">
        <is>
          <t>Sveaskog</t>
        </is>
      </c>
      <c r="G883" t="n">
        <v>2.8</v>
      </c>
      <c r="H883" t="n">
        <v>0</v>
      </c>
      <c r="I883" t="n">
        <v>0</v>
      </c>
      <c r="J883" t="n">
        <v>0</v>
      </c>
      <c r="K883" t="n">
        <v>0</v>
      </c>
      <c r="L883" t="n">
        <v>0</v>
      </c>
      <c r="M883" t="n">
        <v>0</v>
      </c>
      <c r="N883" t="n">
        <v>0</v>
      </c>
      <c r="O883" t="n">
        <v>0</v>
      </c>
      <c r="P883" t="n">
        <v>0</v>
      </c>
      <c r="Q883" t="n">
        <v>0</v>
      </c>
      <c r="R883" s="2" t="inlineStr"/>
    </row>
    <row r="884" ht="15" customHeight="1">
      <c r="A884" t="inlineStr">
        <is>
          <t>A 5319-2022</t>
        </is>
      </c>
      <c r="B884" s="1" t="n">
        <v>44594</v>
      </c>
      <c r="C884" s="1" t="n">
        <v>45952</v>
      </c>
      <c r="D884" t="inlineStr">
        <is>
          <t>ÖREBRO LÄN</t>
        </is>
      </c>
      <c r="E884" t="inlineStr">
        <is>
          <t>DEGERFORS</t>
        </is>
      </c>
      <c r="G884" t="n">
        <v>0.5</v>
      </c>
      <c r="H884" t="n">
        <v>0</v>
      </c>
      <c r="I884" t="n">
        <v>0</v>
      </c>
      <c r="J884" t="n">
        <v>0</v>
      </c>
      <c r="K884" t="n">
        <v>0</v>
      </c>
      <c r="L884" t="n">
        <v>0</v>
      </c>
      <c r="M884" t="n">
        <v>0</v>
      </c>
      <c r="N884" t="n">
        <v>0</v>
      </c>
      <c r="O884" t="n">
        <v>0</v>
      </c>
      <c r="P884" t="n">
        <v>0</v>
      </c>
      <c r="Q884" t="n">
        <v>0</v>
      </c>
      <c r="R884" s="2" t="inlineStr"/>
    </row>
    <row r="885" ht="15" customHeight="1">
      <c r="A885" t="inlineStr">
        <is>
          <t>A 59889-2020</t>
        </is>
      </c>
      <c r="B885" s="1" t="n">
        <v>44151</v>
      </c>
      <c r="C885" s="1" t="n">
        <v>45952</v>
      </c>
      <c r="D885" t="inlineStr">
        <is>
          <t>ÖREBRO LÄN</t>
        </is>
      </c>
      <c r="E885" t="inlineStr">
        <is>
          <t>ASKERSUND</t>
        </is>
      </c>
      <c r="G885" t="n">
        <v>0.8</v>
      </c>
      <c r="H885" t="n">
        <v>0</v>
      </c>
      <c r="I885" t="n">
        <v>0</v>
      </c>
      <c r="J885" t="n">
        <v>0</v>
      </c>
      <c r="K885" t="n">
        <v>0</v>
      </c>
      <c r="L885" t="n">
        <v>0</v>
      </c>
      <c r="M885" t="n">
        <v>0</v>
      </c>
      <c r="N885" t="n">
        <v>0</v>
      </c>
      <c r="O885" t="n">
        <v>0</v>
      </c>
      <c r="P885" t="n">
        <v>0</v>
      </c>
      <c r="Q885" t="n">
        <v>0</v>
      </c>
      <c r="R885" s="2" t="inlineStr"/>
    </row>
    <row r="886" ht="15" customHeight="1">
      <c r="A886" t="inlineStr">
        <is>
          <t>A 16258-2022</t>
        </is>
      </c>
      <c r="B886" s="1" t="n">
        <v>44670</v>
      </c>
      <c r="C886" s="1" t="n">
        <v>45952</v>
      </c>
      <c r="D886" t="inlineStr">
        <is>
          <t>ÖREBRO LÄN</t>
        </is>
      </c>
      <c r="E886" t="inlineStr">
        <is>
          <t>ÖREBRO</t>
        </is>
      </c>
      <c r="G886" t="n">
        <v>0.6</v>
      </c>
      <c r="H886" t="n">
        <v>0</v>
      </c>
      <c r="I886" t="n">
        <v>0</v>
      </c>
      <c r="J886" t="n">
        <v>0</v>
      </c>
      <c r="K886" t="n">
        <v>0</v>
      </c>
      <c r="L886" t="n">
        <v>0</v>
      </c>
      <c r="M886" t="n">
        <v>0</v>
      </c>
      <c r="N886" t="n">
        <v>0</v>
      </c>
      <c r="O886" t="n">
        <v>0</v>
      </c>
      <c r="P886" t="n">
        <v>0</v>
      </c>
      <c r="Q886" t="n">
        <v>0</v>
      </c>
      <c r="R886" s="2" t="inlineStr"/>
    </row>
    <row r="887" ht="15" customHeight="1">
      <c r="A887" t="inlineStr">
        <is>
          <t>A 67425-2020</t>
        </is>
      </c>
      <c r="B887" s="1" t="n">
        <v>44181</v>
      </c>
      <c r="C887" s="1" t="n">
        <v>45952</v>
      </c>
      <c r="D887" t="inlineStr">
        <is>
          <t>ÖREBRO LÄN</t>
        </is>
      </c>
      <c r="E887" t="inlineStr">
        <is>
          <t>NORA</t>
        </is>
      </c>
      <c r="G887" t="n">
        <v>1.6</v>
      </c>
      <c r="H887" t="n">
        <v>0</v>
      </c>
      <c r="I887" t="n">
        <v>0</v>
      </c>
      <c r="J887" t="n">
        <v>0</v>
      </c>
      <c r="K887" t="n">
        <v>0</v>
      </c>
      <c r="L887" t="n">
        <v>0</v>
      </c>
      <c r="M887" t="n">
        <v>0</v>
      </c>
      <c r="N887" t="n">
        <v>0</v>
      </c>
      <c r="O887" t="n">
        <v>0</v>
      </c>
      <c r="P887" t="n">
        <v>0</v>
      </c>
      <c r="Q887" t="n">
        <v>0</v>
      </c>
      <c r="R887" s="2" t="inlineStr"/>
    </row>
    <row r="888" ht="15" customHeight="1">
      <c r="A888" t="inlineStr">
        <is>
          <t>A 67446-2020</t>
        </is>
      </c>
      <c r="B888" s="1" t="n">
        <v>44181</v>
      </c>
      <c r="C888" s="1" t="n">
        <v>45952</v>
      </c>
      <c r="D888" t="inlineStr">
        <is>
          <t>ÖREBRO LÄN</t>
        </is>
      </c>
      <c r="E888" t="inlineStr">
        <is>
          <t>HÄLLEFORS</t>
        </is>
      </c>
      <c r="F888" t="inlineStr">
        <is>
          <t>Bergvik skog väst AB</t>
        </is>
      </c>
      <c r="G888" t="n">
        <v>6.7</v>
      </c>
      <c r="H888" t="n">
        <v>0</v>
      </c>
      <c r="I888" t="n">
        <v>0</v>
      </c>
      <c r="J888" t="n">
        <v>0</v>
      </c>
      <c r="K888" t="n">
        <v>0</v>
      </c>
      <c r="L888" t="n">
        <v>0</v>
      </c>
      <c r="M888" t="n">
        <v>0</v>
      </c>
      <c r="N888" t="n">
        <v>0</v>
      </c>
      <c r="O888" t="n">
        <v>0</v>
      </c>
      <c r="P888" t="n">
        <v>0</v>
      </c>
      <c r="Q888" t="n">
        <v>0</v>
      </c>
      <c r="R888" s="2" t="inlineStr"/>
    </row>
    <row r="889" ht="15" customHeight="1">
      <c r="A889" t="inlineStr">
        <is>
          <t>A 56138-2020</t>
        </is>
      </c>
      <c r="B889" s="1" t="n">
        <v>44133</v>
      </c>
      <c r="C889" s="1" t="n">
        <v>45952</v>
      </c>
      <c r="D889" t="inlineStr">
        <is>
          <t>ÖREBRO LÄN</t>
        </is>
      </c>
      <c r="E889" t="inlineStr">
        <is>
          <t>ÖREBRO</t>
        </is>
      </c>
      <c r="F889" t="inlineStr">
        <is>
          <t>Allmännings- och besparingsskogar</t>
        </is>
      </c>
      <c r="G889" t="n">
        <v>4.9</v>
      </c>
      <c r="H889" t="n">
        <v>0</v>
      </c>
      <c r="I889" t="n">
        <v>0</v>
      </c>
      <c r="J889" t="n">
        <v>0</v>
      </c>
      <c r="K889" t="n">
        <v>0</v>
      </c>
      <c r="L889" t="n">
        <v>0</v>
      </c>
      <c r="M889" t="n">
        <v>0</v>
      </c>
      <c r="N889" t="n">
        <v>0</v>
      </c>
      <c r="O889" t="n">
        <v>0</v>
      </c>
      <c r="P889" t="n">
        <v>0</v>
      </c>
      <c r="Q889" t="n">
        <v>0</v>
      </c>
      <c r="R889" s="2" t="inlineStr"/>
    </row>
    <row r="890" ht="15" customHeight="1">
      <c r="A890" t="inlineStr">
        <is>
          <t>A 57257-2020</t>
        </is>
      </c>
      <c r="B890" s="1" t="n">
        <v>44139</v>
      </c>
      <c r="C890" s="1" t="n">
        <v>45952</v>
      </c>
      <c r="D890" t="inlineStr">
        <is>
          <t>ÖREBRO LÄN</t>
        </is>
      </c>
      <c r="E890" t="inlineStr">
        <is>
          <t>LEKEBERG</t>
        </is>
      </c>
      <c r="F890" t="inlineStr">
        <is>
          <t>Allmännings- och besparingsskogar</t>
        </is>
      </c>
      <c r="G890" t="n">
        <v>0.8</v>
      </c>
      <c r="H890" t="n">
        <v>0</v>
      </c>
      <c r="I890" t="n">
        <v>0</v>
      </c>
      <c r="J890" t="n">
        <v>0</v>
      </c>
      <c r="K890" t="n">
        <v>0</v>
      </c>
      <c r="L890" t="n">
        <v>0</v>
      </c>
      <c r="M890" t="n">
        <v>0</v>
      </c>
      <c r="N890" t="n">
        <v>0</v>
      </c>
      <c r="O890" t="n">
        <v>0</v>
      </c>
      <c r="P890" t="n">
        <v>0</v>
      </c>
      <c r="Q890" t="n">
        <v>0</v>
      </c>
      <c r="R890" s="2" t="inlineStr"/>
    </row>
    <row r="891" ht="15" customHeight="1">
      <c r="A891" t="inlineStr">
        <is>
          <t>A 62943-2020</t>
        </is>
      </c>
      <c r="B891" s="1" t="n">
        <v>44161</v>
      </c>
      <c r="C891" s="1" t="n">
        <v>45952</v>
      </c>
      <c r="D891" t="inlineStr">
        <is>
          <t>ÖREBRO LÄN</t>
        </is>
      </c>
      <c r="E891" t="inlineStr">
        <is>
          <t>KUMLA</t>
        </is>
      </c>
      <c r="G891" t="n">
        <v>2.4</v>
      </c>
      <c r="H891" t="n">
        <v>0</v>
      </c>
      <c r="I891" t="n">
        <v>0</v>
      </c>
      <c r="J891" t="n">
        <v>0</v>
      </c>
      <c r="K891" t="n">
        <v>0</v>
      </c>
      <c r="L891" t="n">
        <v>0</v>
      </c>
      <c r="M891" t="n">
        <v>0</v>
      </c>
      <c r="N891" t="n">
        <v>0</v>
      </c>
      <c r="O891" t="n">
        <v>0</v>
      </c>
      <c r="P891" t="n">
        <v>0</v>
      </c>
      <c r="Q891" t="n">
        <v>0</v>
      </c>
      <c r="R891" s="2" t="inlineStr"/>
    </row>
    <row r="892" ht="15" customHeight="1">
      <c r="A892" t="inlineStr">
        <is>
          <t>A 251-2021</t>
        </is>
      </c>
      <c r="B892" s="1" t="n">
        <v>44200</v>
      </c>
      <c r="C892" s="1" t="n">
        <v>45952</v>
      </c>
      <c r="D892" t="inlineStr">
        <is>
          <t>ÖREBRO LÄN</t>
        </is>
      </c>
      <c r="E892" t="inlineStr">
        <is>
          <t>NORA</t>
        </is>
      </c>
      <c r="G892" t="n">
        <v>0.7</v>
      </c>
      <c r="H892" t="n">
        <v>0</v>
      </c>
      <c r="I892" t="n">
        <v>0</v>
      </c>
      <c r="J892" t="n">
        <v>0</v>
      </c>
      <c r="K892" t="n">
        <v>0</v>
      </c>
      <c r="L892" t="n">
        <v>0</v>
      </c>
      <c r="M892" t="n">
        <v>0</v>
      </c>
      <c r="N892" t="n">
        <v>0</v>
      </c>
      <c r="O892" t="n">
        <v>0</v>
      </c>
      <c r="P892" t="n">
        <v>0</v>
      </c>
      <c r="Q892" t="n">
        <v>0</v>
      </c>
      <c r="R892" s="2" t="inlineStr"/>
    </row>
    <row r="893" ht="15" customHeight="1">
      <c r="A893" t="inlineStr">
        <is>
          <t>A 9424-2022</t>
        </is>
      </c>
      <c r="B893" s="1" t="n">
        <v>44616</v>
      </c>
      <c r="C893" s="1" t="n">
        <v>45952</v>
      </c>
      <c r="D893" t="inlineStr">
        <is>
          <t>ÖREBRO LÄN</t>
        </is>
      </c>
      <c r="E893" t="inlineStr">
        <is>
          <t>HÄLLEFORS</t>
        </is>
      </c>
      <c r="G893" t="n">
        <v>2.9</v>
      </c>
      <c r="H893" t="n">
        <v>0</v>
      </c>
      <c r="I893" t="n">
        <v>0</v>
      </c>
      <c r="J893" t="n">
        <v>0</v>
      </c>
      <c r="K893" t="n">
        <v>0</v>
      </c>
      <c r="L893" t="n">
        <v>0</v>
      </c>
      <c r="M893" t="n">
        <v>0</v>
      </c>
      <c r="N893" t="n">
        <v>0</v>
      </c>
      <c r="O893" t="n">
        <v>0</v>
      </c>
      <c r="P893" t="n">
        <v>0</v>
      </c>
      <c r="Q893" t="n">
        <v>0</v>
      </c>
      <c r="R893" s="2" t="inlineStr"/>
    </row>
    <row r="894" ht="15" customHeight="1">
      <c r="A894" t="inlineStr">
        <is>
          <t>A 67967-2021</t>
        </is>
      </c>
      <c r="B894" s="1" t="n">
        <v>44525.65945601852</v>
      </c>
      <c r="C894" s="1" t="n">
        <v>45952</v>
      </c>
      <c r="D894" t="inlineStr">
        <is>
          <t>ÖREBRO LÄN</t>
        </is>
      </c>
      <c r="E894" t="inlineStr">
        <is>
          <t>HÄLLEFORS</t>
        </is>
      </c>
      <c r="G894" t="n">
        <v>0.7</v>
      </c>
      <c r="H894" t="n">
        <v>0</v>
      </c>
      <c r="I894" t="n">
        <v>0</v>
      </c>
      <c r="J894" t="n">
        <v>0</v>
      </c>
      <c r="K894" t="n">
        <v>0</v>
      </c>
      <c r="L894" t="n">
        <v>0</v>
      </c>
      <c r="M894" t="n">
        <v>0</v>
      </c>
      <c r="N894" t="n">
        <v>0</v>
      </c>
      <c r="O894" t="n">
        <v>0</v>
      </c>
      <c r="P894" t="n">
        <v>0</v>
      </c>
      <c r="Q894" t="n">
        <v>0</v>
      </c>
      <c r="R894" s="2" t="inlineStr"/>
    </row>
    <row r="895" ht="15" customHeight="1">
      <c r="A895" t="inlineStr">
        <is>
          <t>A 26118-2021</t>
        </is>
      </c>
      <c r="B895" s="1" t="n">
        <v>44345</v>
      </c>
      <c r="C895" s="1" t="n">
        <v>45952</v>
      </c>
      <c r="D895" t="inlineStr">
        <is>
          <t>ÖREBRO LÄN</t>
        </is>
      </c>
      <c r="E895" t="inlineStr">
        <is>
          <t>ÖREBRO</t>
        </is>
      </c>
      <c r="G895" t="n">
        <v>2.2</v>
      </c>
      <c r="H895" t="n">
        <v>0</v>
      </c>
      <c r="I895" t="n">
        <v>0</v>
      </c>
      <c r="J895" t="n">
        <v>0</v>
      </c>
      <c r="K895" t="n">
        <v>0</v>
      </c>
      <c r="L895" t="n">
        <v>0</v>
      </c>
      <c r="M895" t="n">
        <v>0</v>
      </c>
      <c r="N895" t="n">
        <v>0</v>
      </c>
      <c r="O895" t="n">
        <v>0</v>
      </c>
      <c r="P895" t="n">
        <v>0</v>
      </c>
      <c r="Q895" t="n">
        <v>0</v>
      </c>
      <c r="R895" s="2" t="inlineStr"/>
    </row>
    <row r="896" ht="15" customHeight="1">
      <c r="A896" t="inlineStr">
        <is>
          <t>A 26119-2021</t>
        </is>
      </c>
      <c r="B896" s="1" t="n">
        <v>44345.33282407407</v>
      </c>
      <c r="C896" s="1" t="n">
        <v>45952</v>
      </c>
      <c r="D896" t="inlineStr">
        <is>
          <t>ÖREBRO LÄN</t>
        </is>
      </c>
      <c r="E896" t="inlineStr">
        <is>
          <t>ÖREBRO</t>
        </is>
      </c>
      <c r="G896" t="n">
        <v>1.6</v>
      </c>
      <c r="H896" t="n">
        <v>0</v>
      </c>
      <c r="I896" t="n">
        <v>0</v>
      </c>
      <c r="J896" t="n">
        <v>0</v>
      </c>
      <c r="K896" t="n">
        <v>0</v>
      </c>
      <c r="L896" t="n">
        <v>0</v>
      </c>
      <c r="M896" t="n">
        <v>0</v>
      </c>
      <c r="N896" t="n">
        <v>0</v>
      </c>
      <c r="O896" t="n">
        <v>0</v>
      </c>
      <c r="P896" t="n">
        <v>0</v>
      </c>
      <c r="Q896" t="n">
        <v>0</v>
      </c>
      <c r="R896" s="2" t="inlineStr"/>
    </row>
    <row r="897" ht="15" customHeight="1">
      <c r="A897" t="inlineStr">
        <is>
          <t>A 52851-2022</t>
        </is>
      </c>
      <c r="B897" s="1" t="n">
        <v>44875.47543981481</v>
      </c>
      <c r="C897" s="1" t="n">
        <v>45952</v>
      </c>
      <c r="D897" t="inlineStr">
        <is>
          <t>ÖREBRO LÄN</t>
        </is>
      </c>
      <c r="E897" t="inlineStr">
        <is>
          <t>LINDESBERG</t>
        </is>
      </c>
      <c r="G897" t="n">
        <v>2.9</v>
      </c>
      <c r="H897" t="n">
        <v>0</v>
      </c>
      <c r="I897" t="n">
        <v>0</v>
      </c>
      <c r="J897" t="n">
        <v>0</v>
      </c>
      <c r="K897" t="n">
        <v>0</v>
      </c>
      <c r="L897" t="n">
        <v>0</v>
      </c>
      <c r="M897" t="n">
        <v>0</v>
      </c>
      <c r="N897" t="n">
        <v>0</v>
      </c>
      <c r="O897" t="n">
        <v>0</v>
      </c>
      <c r="P897" t="n">
        <v>0</v>
      </c>
      <c r="Q897" t="n">
        <v>0</v>
      </c>
      <c r="R897" s="2" t="inlineStr"/>
    </row>
    <row r="898" ht="15" customHeight="1">
      <c r="A898" t="inlineStr">
        <is>
          <t>A 28616-2022</t>
        </is>
      </c>
      <c r="B898" s="1" t="n">
        <v>44748.57869212963</v>
      </c>
      <c r="C898" s="1" t="n">
        <v>45952</v>
      </c>
      <c r="D898" t="inlineStr">
        <is>
          <t>ÖREBRO LÄN</t>
        </is>
      </c>
      <c r="E898" t="inlineStr">
        <is>
          <t>LEKEBERG</t>
        </is>
      </c>
      <c r="G898" t="n">
        <v>0.8</v>
      </c>
      <c r="H898" t="n">
        <v>0</v>
      </c>
      <c r="I898" t="n">
        <v>0</v>
      </c>
      <c r="J898" t="n">
        <v>0</v>
      </c>
      <c r="K898" t="n">
        <v>0</v>
      </c>
      <c r="L898" t="n">
        <v>0</v>
      </c>
      <c r="M898" t="n">
        <v>0</v>
      </c>
      <c r="N898" t="n">
        <v>0</v>
      </c>
      <c r="O898" t="n">
        <v>0</v>
      </c>
      <c r="P898" t="n">
        <v>0</v>
      </c>
      <c r="Q898" t="n">
        <v>0</v>
      </c>
      <c r="R898" s="2" t="inlineStr"/>
    </row>
    <row r="899" ht="15" customHeight="1">
      <c r="A899" t="inlineStr">
        <is>
          <t>A 54647-2020</t>
        </is>
      </c>
      <c r="B899" s="1" t="n">
        <v>44127</v>
      </c>
      <c r="C899" s="1" t="n">
        <v>45952</v>
      </c>
      <c r="D899" t="inlineStr">
        <is>
          <t>ÖREBRO LÄN</t>
        </is>
      </c>
      <c r="E899" t="inlineStr">
        <is>
          <t>ASKERSUND</t>
        </is>
      </c>
      <c r="F899" t="inlineStr">
        <is>
          <t>Sveaskog</t>
        </is>
      </c>
      <c r="G899" t="n">
        <v>0.8</v>
      </c>
      <c r="H899" t="n">
        <v>0</v>
      </c>
      <c r="I899" t="n">
        <v>0</v>
      </c>
      <c r="J899" t="n">
        <v>0</v>
      </c>
      <c r="K899" t="n">
        <v>0</v>
      </c>
      <c r="L899" t="n">
        <v>0</v>
      </c>
      <c r="M899" t="n">
        <v>0</v>
      </c>
      <c r="N899" t="n">
        <v>0</v>
      </c>
      <c r="O899" t="n">
        <v>0</v>
      </c>
      <c r="P899" t="n">
        <v>0</v>
      </c>
      <c r="Q899" t="n">
        <v>0</v>
      </c>
      <c r="R899" s="2" t="inlineStr"/>
    </row>
    <row r="900" ht="15" customHeight="1">
      <c r="A900" t="inlineStr">
        <is>
          <t>A 67054-2021</t>
        </is>
      </c>
      <c r="B900" s="1" t="n">
        <v>44522</v>
      </c>
      <c r="C900" s="1" t="n">
        <v>45952</v>
      </c>
      <c r="D900" t="inlineStr">
        <is>
          <t>ÖREBRO LÄN</t>
        </is>
      </c>
      <c r="E900" t="inlineStr">
        <is>
          <t>LAXÅ</t>
        </is>
      </c>
      <c r="G900" t="n">
        <v>2.2</v>
      </c>
      <c r="H900" t="n">
        <v>0</v>
      </c>
      <c r="I900" t="n">
        <v>0</v>
      </c>
      <c r="J900" t="n">
        <v>0</v>
      </c>
      <c r="K900" t="n">
        <v>0</v>
      </c>
      <c r="L900" t="n">
        <v>0</v>
      </c>
      <c r="M900" t="n">
        <v>0</v>
      </c>
      <c r="N900" t="n">
        <v>0</v>
      </c>
      <c r="O900" t="n">
        <v>0</v>
      </c>
      <c r="P900" t="n">
        <v>0</v>
      </c>
      <c r="Q900" t="n">
        <v>0</v>
      </c>
      <c r="R900" s="2" t="inlineStr"/>
    </row>
    <row r="901" ht="15" customHeight="1">
      <c r="A901" t="inlineStr">
        <is>
          <t>A 55733-2020</t>
        </is>
      </c>
      <c r="B901" s="1" t="n">
        <v>44132</v>
      </c>
      <c r="C901" s="1" t="n">
        <v>45952</v>
      </c>
      <c r="D901" t="inlineStr">
        <is>
          <t>ÖREBRO LÄN</t>
        </is>
      </c>
      <c r="E901" t="inlineStr">
        <is>
          <t>ASKERSUND</t>
        </is>
      </c>
      <c r="F901" t="inlineStr">
        <is>
          <t>Sveaskog</t>
        </is>
      </c>
      <c r="G901" t="n">
        <v>0.5</v>
      </c>
      <c r="H901" t="n">
        <v>0</v>
      </c>
      <c r="I901" t="n">
        <v>0</v>
      </c>
      <c r="J901" t="n">
        <v>0</v>
      </c>
      <c r="K901" t="n">
        <v>0</v>
      </c>
      <c r="L901" t="n">
        <v>0</v>
      </c>
      <c r="M901" t="n">
        <v>0</v>
      </c>
      <c r="N901" t="n">
        <v>0</v>
      </c>
      <c r="O901" t="n">
        <v>0</v>
      </c>
      <c r="P901" t="n">
        <v>0</v>
      </c>
      <c r="Q901" t="n">
        <v>0</v>
      </c>
      <c r="R901" s="2" t="inlineStr"/>
    </row>
    <row r="902" ht="15" customHeight="1">
      <c r="A902" t="inlineStr">
        <is>
          <t>A 12977-2022</t>
        </is>
      </c>
      <c r="B902" s="1" t="n">
        <v>44643</v>
      </c>
      <c r="C902" s="1" t="n">
        <v>45952</v>
      </c>
      <c r="D902" t="inlineStr">
        <is>
          <t>ÖREBRO LÄN</t>
        </is>
      </c>
      <c r="E902" t="inlineStr">
        <is>
          <t>DEGERFORS</t>
        </is>
      </c>
      <c r="G902" t="n">
        <v>1.3</v>
      </c>
      <c r="H902" t="n">
        <v>0</v>
      </c>
      <c r="I902" t="n">
        <v>0</v>
      </c>
      <c r="J902" t="n">
        <v>0</v>
      </c>
      <c r="K902" t="n">
        <v>0</v>
      </c>
      <c r="L902" t="n">
        <v>0</v>
      </c>
      <c r="M902" t="n">
        <v>0</v>
      </c>
      <c r="N902" t="n">
        <v>0</v>
      </c>
      <c r="O902" t="n">
        <v>0</v>
      </c>
      <c r="P902" t="n">
        <v>0</v>
      </c>
      <c r="Q902" t="n">
        <v>0</v>
      </c>
      <c r="R902" s="2" t="inlineStr"/>
    </row>
    <row r="903" ht="15" customHeight="1">
      <c r="A903" t="inlineStr">
        <is>
          <t>A 23661-2021</t>
        </is>
      </c>
      <c r="B903" s="1" t="n">
        <v>44334.60293981482</v>
      </c>
      <c r="C903" s="1" t="n">
        <v>45952</v>
      </c>
      <c r="D903" t="inlineStr">
        <is>
          <t>ÖREBRO LÄN</t>
        </is>
      </c>
      <c r="E903" t="inlineStr">
        <is>
          <t>LINDESBERG</t>
        </is>
      </c>
      <c r="G903" t="n">
        <v>4.7</v>
      </c>
      <c r="H903" t="n">
        <v>0</v>
      </c>
      <c r="I903" t="n">
        <v>0</v>
      </c>
      <c r="J903" t="n">
        <v>0</v>
      </c>
      <c r="K903" t="n">
        <v>0</v>
      </c>
      <c r="L903" t="n">
        <v>0</v>
      </c>
      <c r="M903" t="n">
        <v>0</v>
      </c>
      <c r="N903" t="n">
        <v>0</v>
      </c>
      <c r="O903" t="n">
        <v>0</v>
      </c>
      <c r="P903" t="n">
        <v>0</v>
      </c>
      <c r="Q903" t="n">
        <v>0</v>
      </c>
      <c r="R903" s="2" t="inlineStr"/>
    </row>
    <row r="904" ht="15" customHeight="1">
      <c r="A904" t="inlineStr">
        <is>
          <t>A 12289-2022</t>
        </is>
      </c>
      <c r="B904" s="1" t="n">
        <v>44637</v>
      </c>
      <c r="C904" s="1" t="n">
        <v>45952</v>
      </c>
      <c r="D904" t="inlineStr">
        <is>
          <t>ÖREBRO LÄN</t>
        </is>
      </c>
      <c r="E904" t="inlineStr">
        <is>
          <t>ASKERSUND</t>
        </is>
      </c>
      <c r="G904" t="n">
        <v>1.4</v>
      </c>
      <c r="H904" t="n">
        <v>0</v>
      </c>
      <c r="I904" t="n">
        <v>0</v>
      </c>
      <c r="J904" t="n">
        <v>0</v>
      </c>
      <c r="K904" t="n">
        <v>0</v>
      </c>
      <c r="L904" t="n">
        <v>0</v>
      </c>
      <c r="M904" t="n">
        <v>0</v>
      </c>
      <c r="N904" t="n">
        <v>0</v>
      </c>
      <c r="O904" t="n">
        <v>0</v>
      </c>
      <c r="P904" t="n">
        <v>0</v>
      </c>
      <c r="Q904" t="n">
        <v>0</v>
      </c>
      <c r="R904" s="2" t="inlineStr"/>
    </row>
    <row r="905" ht="15" customHeight="1">
      <c r="A905" t="inlineStr">
        <is>
          <t>A 12290-2022</t>
        </is>
      </c>
      <c r="B905" s="1" t="n">
        <v>44637</v>
      </c>
      <c r="C905" s="1" t="n">
        <v>45952</v>
      </c>
      <c r="D905" t="inlineStr">
        <is>
          <t>ÖREBRO LÄN</t>
        </is>
      </c>
      <c r="E905" t="inlineStr">
        <is>
          <t>ASKERSUND</t>
        </is>
      </c>
      <c r="G905" t="n">
        <v>1.3</v>
      </c>
      <c r="H905" t="n">
        <v>0</v>
      </c>
      <c r="I905" t="n">
        <v>0</v>
      </c>
      <c r="J905" t="n">
        <v>0</v>
      </c>
      <c r="K905" t="n">
        <v>0</v>
      </c>
      <c r="L905" t="n">
        <v>0</v>
      </c>
      <c r="M905" t="n">
        <v>0</v>
      </c>
      <c r="N905" t="n">
        <v>0</v>
      </c>
      <c r="O905" t="n">
        <v>0</v>
      </c>
      <c r="P905" t="n">
        <v>0</v>
      </c>
      <c r="Q905" t="n">
        <v>0</v>
      </c>
      <c r="R905" s="2" t="inlineStr"/>
    </row>
    <row r="906" ht="15" customHeight="1">
      <c r="A906" t="inlineStr">
        <is>
          <t>A 27648-2021</t>
        </is>
      </c>
      <c r="B906" s="1" t="n">
        <v>44354.37946759259</v>
      </c>
      <c r="C906" s="1" t="n">
        <v>45952</v>
      </c>
      <c r="D906" t="inlineStr">
        <is>
          <t>ÖREBRO LÄN</t>
        </is>
      </c>
      <c r="E906" t="inlineStr">
        <is>
          <t>NORA</t>
        </is>
      </c>
      <c r="G906" t="n">
        <v>9.6</v>
      </c>
      <c r="H906" t="n">
        <v>0</v>
      </c>
      <c r="I906" t="n">
        <v>0</v>
      </c>
      <c r="J906" t="n">
        <v>0</v>
      </c>
      <c r="K906" t="n">
        <v>0</v>
      </c>
      <c r="L906" t="n">
        <v>0</v>
      </c>
      <c r="M906" t="n">
        <v>0</v>
      </c>
      <c r="N906" t="n">
        <v>0</v>
      </c>
      <c r="O906" t="n">
        <v>0</v>
      </c>
      <c r="P906" t="n">
        <v>0</v>
      </c>
      <c r="Q906" t="n">
        <v>0</v>
      </c>
      <c r="R906" s="2" t="inlineStr"/>
    </row>
    <row r="907" ht="15" customHeight="1">
      <c r="A907" t="inlineStr">
        <is>
          <t>A 4537-2022</t>
        </is>
      </c>
      <c r="B907" s="1" t="n">
        <v>44590</v>
      </c>
      <c r="C907" s="1" t="n">
        <v>45952</v>
      </c>
      <c r="D907" t="inlineStr">
        <is>
          <t>ÖREBRO LÄN</t>
        </is>
      </c>
      <c r="E907" t="inlineStr">
        <is>
          <t>KARLSKOGA</t>
        </is>
      </c>
      <c r="G907" t="n">
        <v>2.1</v>
      </c>
      <c r="H907" t="n">
        <v>0</v>
      </c>
      <c r="I907" t="n">
        <v>0</v>
      </c>
      <c r="J907" t="n">
        <v>0</v>
      </c>
      <c r="K907" t="n">
        <v>0</v>
      </c>
      <c r="L907" t="n">
        <v>0</v>
      </c>
      <c r="M907" t="n">
        <v>0</v>
      </c>
      <c r="N907" t="n">
        <v>0</v>
      </c>
      <c r="O907" t="n">
        <v>0</v>
      </c>
      <c r="P907" t="n">
        <v>0</v>
      </c>
      <c r="Q907" t="n">
        <v>0</v>
      </c>
      <c r="R907" s="2" t="inlineStr"/>
    </row>
    <row r="908" ht="15" customHeight="1">
      <c r="A908" t="inlineStr">
        <is>
          <t>A 62010-2021</t>
        </is>
      </c>
      <c r="B908" s="1" t="n">
        <v>44502.49809027778</v>
      </c>
      <c r="C908" s="1" t="n">
        <v>45952</v>
      </c>
      <c r="D908" t="inlineStr">
        <is>
          <t>ÖREBRO LÄN</t>
        </is>
      </c>
      <c r="E908" t="inlineStr">
        <is>
          <t>LINDESBERG</t>
        </is>
      </c>
      <c r="G908" t="n">
        <v>3.2</v>
      </c>
      <c r="H908" t="n">
        <v>0</v>
      </c>
      <c r="I908" t="n">
        <v>0</v>
      </c>
      <c r="J908" t="n">
        <v>0</v>
      </c>
      <c r="K908" t="n">
        <v>0</v>
      </c>
      <c r="L908" t="n">
        <v>0</v>
      </c>
      <c r="M908" t="n">
        <v>0</v>
      </c>
      <c r="N908" t="n">
        <v>0</v>
      </c>
      <c r="O908" t="n">
        <v>0</v>
      </c>
      <c r="P908" t="n">
        <v>0</v>
      </c>
      <c r="Q908" t="n">
        <v>0</v>
      </c>
      <c r="R908" s="2" t="inlineStr"/>
    </row>
    <row r="909" ht="15" customHeight="1">
      <c r="A909" t="inlineStr">
        <is>
          <t>A 62014-2021</t>
        </is>
      </c>
      <c r="B909" s="1" t="n">
        <v>44502</v>
      </c>
      <c r="C909" s="1" t="n">
        <v>45952</v>
      </c>
      <c r="D909" t="inlineStr">
        <is>
          <t>ÖREBRO LÄN</t>
        </is>
      </c>
      <c r="E909" t="inlineStr">
        <is>
          <t>LINDESBERG</t>
        </is>
      </c>
      <c r="G909" t="n">
        <v>0.7</v>
      </c>
      <c r="H909" t="n">
        <v>0</v>
      </c>
      <c r="I909" t="n">
        <v>0</v>
      </c>
      <c r="J909" t="n">
        <v>0</v>
      </c>
      <c r="K909" t="n">
        <v>0</v>
      </c>
      <c r="L909" t="n">
        <v>0</v>
      </c>
      <c r="M909" t="n">
        <v>0</v>
      </c>
      <c r="N909" t="n">
        <v>0</v>
      </c>
      <c r="O909" t="n">
        <v>0</v>
      </c>
      <c r="P909" t="n">
        <v>0</v>
      </c>
      <c r="Q909" t="n">
        <v>0</v>
      </c>
      <c r="R909" s="2" t="inlineStr"/>
    </row>
    <row r="910" ht="15" customHeight="1">
      <c r="A910" t="inlineStr">
        <is>
          <t>A 48216-2021</t>
        </is>
      </c>
      <c r="B910" s="1" t="n">
        <v>44449</v>
      </c>
      <c r="C910" s="1" t="n">
        <v>45952</v>
      </c>
      <c r="D910" t="inlineStr">
        <is>
          <t>ÖREBRO LÄN</t>
        </is>
      </c>
      <c r="E910" t="inlineStr">
        <is>
          <t>LAXÅ</t>
        </is>
      </c>
      <c r="G910" t="n">
        <v>2.1</v>
      </c>
      <c r="H910" t="n">
        <v>0</v>
      </c>
      <c r="I910" t="n">
        <v>0</v>
      </c>
      <c r="J910" t="n">
        <v>0</v>
      </c>
      <c r="K910" t="n">
        <v>0</v>
      </c>
      <c r="L910" t="n">
        <v>0</v>
      </c>
      <c r="M910" t="n">
        <v>0</v>
      </c>
      <c r="N910" t="n">
        <v>0</v>
      </c>
      <c r="O910" t="n">
        <v>0</v>
      </c>
      <c r="P910" t="n">
        <v>0</v>
      </c>
      <c r="Q910" t="n">
        <v>0</v>
      </c>
      <c r="R910" s="2" t="inlineStr"/>
    </row>
    <row r="911" ht="15" customHeight="1">
      <c r="A911" t="inlineStr">
        <is>
          <t>A 30532-2022</t>
        </is>
      </c>
      <c r="B911" s="1" t="n">
        <v>44762</v>
      </c>
      <c r="C911" s="1" t="n">
        <v>45952</v>
      </c>
      <c r="D911" t="inlineStr">
        <is>
          <t>ÖREBRO LÄN</t>
        </is>
      </c>
      <c r="E911" t="inlineStr">
        <is>
          <t>HÄLLEFORS</t>
        </is>
      </c>
      <c r="G911" t="n">
        <v>2.5</v>
      </c>
      <c r="H911" t="n">
        <v>0</v>
      </c>
      <c r="I911" t="n">
        <v>0</v>
      </c>
      <c r="J911" t="n">
        <v>0</v>
      </c>
      <c r="K911" t="n">
        <v>0</v>
      </c>
      <c r="L911" t="n">
        <v>0</v>
      </c>
      <c r="M911" t="n">
        <v>0</v>
      </c>
      <c r="N911" t="n">
        <v>0</v>
      </c>
      <c r="O911" t="n">
        <v>0</v>
      </c>
      <c r="P911" t="n">
        <v>0</v>
      </c>
      <c r="Q911" t="n">
        <v>0</v>
      </c>
      <c r="R911" s="2" t="inlineStr"/>
    </row>
    <row r="912" ht="15" customHeight="1">
      <c r="A912" t="inlineStr">
        <is>
          <t>A 68610-2021</t>
        </is>
      </c>
      <c r="B912" s="1" t="n">
        <v>44529.56203703704</v>
      </c>
      <c r="C912" s="1" t="n">
        <v>45952</v>
      </c>
      <c r="D912" t="inlineStr">
        <is>
          <t>ÖREBRO LÄN</t>
        </is>
      </c>
      <c r="E912" t="inlineStr">
        <is>
          <t>NORA</t>
        </is>
      </c>
      <c r="G912" t="n">
        <v>1.9</v>
      </c>
      <c r="H912" t="n">
        <v>0</v>
      </c>
      <c r="I912" t="n">
        <v>0</v>
      </c>
      <c r="J912" t="n">
        <v>0</v>
      </c>
      <c r="K912" t="n">
        <v>0</v>
      </c>
      <c r="L912" t="n">
        <v>0</v>
      </c>
      <c r="M912" t="n">
        <v>0</v>
      </c>
      <c r="N912" t="n">
        <v>0</v>
      </c>
      <c r="O912" t="n">
        <v>0</v>
      </c>
      <c r="P912" t="n">
        <v>0</v>
      </c>
      <c r="Q912" t="n">
        <v>0</v>
      </c>
      <c r="R912" s="2" t="inlineStr"/>
    </row>
    <row r="913" ht="15" customHeight="1">
      <c r="A913" t="inlineStr">
        <is>
          <t>A 27502-2021</t>
        </is>
      </c>
      <c r="B913" s="1" t="n">
        <v>44351.64181712963</v>
      </c>
      <c r="C913" s="1" t="n">
        <v>45952</v>
      </c>
      <c r="D913" t="inlineStr">
        <is>
          <t>ÖREBRO LÄN</t>
        </is>
      </c>
      <c r="E913" t="inlineStr">
        <is>
          <t>LAXÅ</t>
        </is>
      </c>
      <c r="F913" t="inlineStr">
        <is>
          <t>Sveaskog</t>
        </is>
      </c>
      <c r="G913" t="n">
        <v>0.5</v>
      </c>
      <c r="H913" t="n">
        <v>0</v>
      </c>
      <c r="I913" t="n">
        <v>0</v>
      </c>
      <c r="J913" t="n">
        <v>0</v>
      </c>
      <c r="K913" t="n">
        <v>0</v>
      </c>
      <c r="L913" t="n">
        <v>0</v>
      </c>
      <c r="M913" t="n">
        <v>0</v>
      </c>
      <c r="N913" t="n">
        <v>0</v>
      </c>
      <c r="O913" t="n">
        <v>0</v>
      </c>
      <c r="P913" t="n">
        <v>0</v>
      </c>
      <c r="Q913" t="n">
        <v>0</v>
      </c>
      <c r="R913" s="2" t="inlineStr"/>
    </row>
    <row r="914" ht="15" customHeight="1">
      <c r="A914" t="inlineStr">
        <is>
          <t>A 66010-2021</t>
        </is>
      </c>
      <c r="B914" s="1" t="n">
        <v>44517</v>
      </c>
      <c r="C914" s="1" t="n">
        <v>45952</v>
      </c>
      <c r="D914" t="inlineStr">
        <is>
          <t>ÖREBRO LÄN</t>
        </is>
      </c>
      <c r="E914" t="inlineStr">
        <is>
          <t>ASKERSUND</t>
        </is>
      </c>
      <c r="G914" t="n">
        <v>6.5</v>
      </c>
      <c r="H914" t="n">
        <v>0</v>
      </c>
      <c r="I914" t="n">
        <v>0</v>
      </c>
      <c r="J914" t="n">
        <v>0</v>
      </c>
      <c r="K914" t="n">
        <v>0</v>
      </c>
      <c r="L914" t="n">
        <v>0</v>
      </c>
      <c r="M914" t="n">
        <v>0</v>
      </c>
      <c r="N914" t="n">
        <v>0</v>
      </c>
      <c r="O914" t="n">
        <v>0</v>
      </c>
      <c r="P914" t="n">
        <v>0</v>
      </c>
      <c r="Q914" t="n">
        <v>0</v>
      </c>
      <c r="R914" s="2" t="inlineStr"/>
    </row>
    <row r="915" ht="15" customHeight="1">
      <c r="A915" t="inlineStr">
        <is>
          <t>A 59655-2021</t>
        </is>
      </c>
      <c r="B915" s="1" t="n">
        <v>44491</v>
      </c>
      <c r="C915" s="1" t="n">
        <v>45952</v>
      </c>
      <c r="D915" t="inlineStr">
        <is>
          <t>ÖREBRO LÄN</t>
        </is>
      </c>
      <c r="E915" t="inlineStr">
        <is>
          <t>LINDESBERG</t>
        </is>
      </c>
      <c r="G915" t="n">
        <v>7</v>
      </c>
      <c r="H915" t="n">
        <v>0</v>
      </c>
      <c r="I915" t="n">
        <v>0</v>
      </c>
      <c r="J915" t="n">
        <v>0</v>
      </c>
      <c r="K915" t="n">
        <v>0</v>
      </c>
      <c r="L915" t="n">
        <v>0</v>
      </c>
      <c r="M915" t="n">
        <v>0</v>
      </c>
      <c r="N915" t="n">
        <v>0</v>
      </c>
      <c r="O915" t="n">
        <v>0</v>
      </c>
      <c r="P915" t="n">
        <v>0</v>
      </c>
      <c r="Q915" t="n">
        <v>0</v>
      </c>
      <c r="R915" s="2" t="inlineStr"/>
    </row>
    <row r="916" ht="15" customHeight="1">
      <c r="A916" t="inlineStr">
        <is>
          <t>A 7117-2021</t>
        </is>
      </c>
      <c r="B916" s="1" t="n">
        <v>44238</v>
      </c>
      <c r="C916" s="1" t="n">
        <v>45952</v>
      </c>
      <c r="D916" t="inlineStr">
        <is>
          <t>ÖREBRO LÄN</t>
        </is>
      </c>
      <c r="E916" t="inlineStr">
        <is>
          <t>ÖREBRO</t>
        </is>
      </c>
      <c r="G916" t="n">
        <v>0.6</v>
      </c>
      <c r="H916" t="n">
        <v>0</v>
      </c>
      <c r="I916" t="n">
        <v>0</v>
      </c>
      <c r="J916" t="n">
        <v>0</v>
      </c>
      <c r="K916" t="n">
        <v>0</v>
      </c>
      <c r="L916" t="n">
        <v>0</v>
      </c>
      <c r="M916" t="n">
        <v>0</v>
      </c>
      <c r="N916" t="n">
        <v>0</v>
      </c>
      <c r="O916" t="n">
        <v>0</v>
      </c>
      <c r="P916" t="n">
        <v>0</v>
      </c>
      <c r="Q916" t="n">
        <v>0</v>
      </c>
      <c r="R916" s="2" t="inlineStr"/>
    </row>
    <row r="917" ht="15" customHeight="1">
      <c r="A917" t="inlineStr">
        <is>
          <t>A 19166-2021</t>
        </is>
      </c>
      <c r="B917" s="1" t="n">
        <v>44308</v>
      </c>
      <c r="C917" s="1" t="n">
        <v>45952</v>
      </c>
      <c r="D917" t="inlineStr">
        <is>
          <t>ÖREBRO LÄN</t>
        </is>
      </c>
      <c r="E917" t="inlineStr">
        <is>
          <t>NORA</t>
        </is>
      </c>
      <c r="F917" t="inlineStr">
        <is>
          <t>Sveaskog</t>
        </is>
      </c>
      <c r="G917" t="n">
        <v>1</v>
      </c>
      <c r="H917" t="n">
        <v>0</v>
      </c>
      <c r="I917" t="n">
        <v>0</v>
      </c>
      <c r="J917" t="n">
        <v>0</v>
      </c>
      <c r="K917" t="n">
        <v>0</v>
      </c>
      <c r="L917" t="n">
        <v>0</v>
      </c>
      <c r="M917" t="n">
        <v>0</v>
      </c>
      <c r="N917" t="n">
        <v>0</v>
      </c>
      <c r="O917" t="n">
        <v>0</v>
      </c>
      <c r="P917" t="n">
        <v>0</v>
      </c>
      <c r="Q917" t="n">
        <v>0</v>
      </c>
      <c r="R917" s="2" t="inlineStr"/>
    </row>
    <row r="918" ht="15" customHeight="1">
      <c r="A918" t="inlineStr">
        <is>
          <t>A 1230-2021</t>
        </is>
      </c>
      <c r="B918" s="1" t="n">
        <v>44208</v>
      </c>
      <c r="C918" s="1" t="n">
        <v>45952</v>
      </c>
      <c r="D918" t="inlineStr">
        <is>
          <t>ÖREBRO LÄN</t>
        </is>
      </c>
      <c r="E918" t="inlineStr">
        <is>
          <t>LINDESBERG</t>
        </is>
      </c>
      <c r="G918" t="n">
        <v>3.5</v>
      </c>
      <c r="H918" t="n">
        <v>0</v>
      </c>
      <c r="I918" t="n">
        <v>0</v>
      </c>
      <c r="J918" t="n">
        <v>0</v>
      </c>
      <c r="K918" t="n">
        <v>0</v>
      </c>
      <c r="L918" t="n">
        <v>0</v>
      </c>
      <c r="M918" t="n">
        <v>0</v>
      </c>
      <c r="N918" t="n">
        <v>0</v>
      </c>
      <c r="O918" t="n">
        <v>0</v>
      </c>
      <c r="P918" t="n">
        <v>0</v>
      </c>
      <c r="Q918" t="n">
        <v>0</v>
      </c>
      <c r="R918" s="2" t="inlineStr"/>
    </row>
    <row r="919" ht="15" customHeight="1">
      <c r="A919" t="inlineStr">
        <is>
          <t>A 58380-2021</t>
        </is>
      </c>
      <c r="B919" s="1" t="n">
        <v>44488</v>
      </c>
      <c r="C919" s="1" t="n">
        <v>45952</v>
      </c>
      <c r="D919" t="inlineStr">
        <is>
          <t>ÖREBRO LÄN</t>
        </is>
      </c>
      <c r="E919" t="inlineStr">
        <is>
          <t>LEKEBERG</t>
        </is>
      </c>
      <c r="G919" t="n">
        <v>3.4</v>
      </c>
      <c r="H919" t="n">
        <v>0</v>
      </c>
      <c r="I919" t="n">
        <v>0</v>
      </c>
      <c r="J919" t="n">
        <v>0</v>
      </c>
      <c r="K919" t="n">
        <v>0</v>
      </c>
      <c r="L919" t="n">
        <v>0</v>
      </c>
      <c r="M919" t="n">
        <v>0</v>
      </c>
      <c r="N919" t="n">
        <v>0</v>
      </c>
      <c r="O919" t="n">
        <v>0</v>
      </c>
      <c r="P919" t="n">
        <v>0</v>
      </c>
      <c r="Q919" t="n">
        <v>0</v>
      </c>
      <c r="R919" s="2" t="inlineStr"/>
    </row>
    <row r="920" ht="15" customHeight="1">
      <c r="A920" t="inlineStr">
        <is>
          <t>A 63671-2021</t>
        </is>
      </c>
      <c r="B920" s="1" t="n">
        <v>44508</v>
      </c>
      <c r="C920" s="1" t="n">
        <v>45952</v>
      </c>
      <c r="D920" t="inlineStr">
        <is>
          <t>ÖREBRO LÄN</t>
        </is>
      </c>
      <c r="E920" t="inlineStr">
        <is>
          <t>KARLSKOGA</t>
        </is>
      </c>
      <c r="F920" t="inlineStr">
        <is>
          <t>Kommuner</t>
        </is>
      </c>
      <c r="G920" t="n">
        <v>1</v>
      </c>
      <c r="H920" t="n">
        <v>0</v>
      </c>
      <c r="I920" t="n">
        <v>0</v>
      </c>
      <c r="J920" t="n">
        <v>0</v>
      </c>
      <c r="K920" t="n">
        <v>0</v>
      </c>
      <c r="L920" t="n">
        <v>0</v>
      </c>
      <c r="M920" t="n">
        <v>0</v>
      </c>
      <c r="N920" t="n">
        <v>0</v>
      </c>
      <c r="O920" t="n">
        <v>0</v>
      </c>
      <c r="P920" t="n">
        <v>0</v>
      </c>
      <c r="Q920" t="n">
        <v>0</v>
      </c>
      <c r="R920" s="2" t="inlineStr"/>
    </row>
    <row r="921" ht="15" customHeight="1">
      <c r="A921" t="inlineStr">
        <is>
          <t>A 56435-2021</t>
        </is>
      </c>
      <c r="B921" s="1" t="n">
        <v>44480</v>
      </c>
      <c r="C921" s="1" t="n">
        <v>45952</v>
      </c>
      <c r="D921" t="inlineStr">
        <is>
          <t>ÖREBRO LÄN</t>
        </is>
      </c>
      <c r="E921" t="inlineStr">
        <is>
          <t>KARLSKOGA</t>
        </is>
      </c>
      <c r="G921" t="n">
        <v>1.3</v>
      </c>
      <c r="H921" t="n">
        <v>0</v>
      </c>
      <c r="I921" t="n">
        <v>0</v>
      </c>
      <c r="J921" t="n">
        <v>0</v>
      </c>
      <c r="K921" t="n">
        <v>0</v>
      </c>
      <c r="L921" t="n">
        <v>0</v>
      </c>
      <c r="M921" t="n">
        <v>0</v>
      </c>
      <c r="N921" t="n">
        <v>0</v>
      </c>
      <c r="O921" t="n">
        <v>0</v>
      </c>
      <c r="P921" t="n">
        <v>0</v>
      </c>
      <c r="Q921" t="n">
        <v>0</v>
      </c>
      <c r="R921" s="2" t="inlineStr"/>
    </row>
    <row r="922" ht="15" customHeight="1">
      <c r="A922" t="inlineStr">
        <is>
          <t>A 30122-2021</t>
        </is>
      </c>
      <c r="B922" s="1" t="n">
        <v>44363</v>
      </c>
      <c r="C922" s="1" t="n">
        <v>45952</v>
      </c>
      <c r="D922" t="inlineStr">
        <is>
          <t>ÖREBRO LÄN</t>
        </is>
      </c>
      <c r="E922" t="inlineStr">
        <is>
          <t>LINDESBERG</t>
        </is>
      </c>
      <c r="G922" t="n">
        <v>3.3</v>
      </c>
      <c r="H922" t="n">
        <v>0</v>
      </c>
      <c r="I922" t="n">
        <v>0</v>
      </c>
      <c r="J922" t="n">
        <v>0</v>
      </c>
      <c r="K922" t="n">
        <v>0</v>
      </c>
      <c r="L922" t="n">
        <v>0</v>
      </c>
      <c r="M922" t="n">
        <v>0</v>
      </c>
      <c r="N922" t="n">
        <v>0</v>
      </c>
      <c r="O922" t="n">
        <v>0</v>
      </c>
      <c r="P922" t="n">
        <v>0</v>
      </c>
      <c r="Q922" t="n">
        <v>0</v>
      </c>
      <c r="R922" s="2" t="inlineStr"/>
    </row>
    <row r="923" ht="15" customHeight="1">
      <c r="A923" t="inlineStr">
        <is>
          <t>A 56681-2021</t>
        </is>
      </c>
      <c r="B923" s="1" t="n">
        <v>44481.34877314815</v>
      </c>
      <c r="C923" s="1" t="n">
        <v>45952</v>
      </c>
      <c r="D923" t="inlineStr">
        <is>
          <t>ÖREBRO LÄN</t>
        </is>
      </c>
      <c r="E923" t="inlineStr">
        <is>
          <t>LINDESBERG</t>
        </is>
      </c>
      <c r="G923" t="n">
        <v>2.6</v>
      </c>
      <c r="H923" t="n">
        <v>0</v>
      </c>
      <c r="I923" t="n">
        <v>0</v>
      </c>
      <c r="J923" t="n">
        <v>0</v>
      </c>
      <c r="K923" t="n">
        <v>0</v>
      </c>
      <c r="L923" t="n">
        <v>0</v>
      </c>
      <c r="M923" t="n">
        <v>0</v>
      </c>
      <c r="N923" t="n">
        <v>0</v>
      </c>
      <c r="O923" t="n">
        <v>0</v>
      </c>
      <c r="P923" t="n">
        <v>0</v>
      </c>
      <c r="Q923" t="n">
        <v>0</v>
      </c>
      <c r="R923" s="2" t="inlineStr"/>
    </row>
    <row r="924" ht="15" customHeight="1">
      <c r="A924" t="inlineStr">
        <is>
          <t>A 39605-2021</t>
        </is>
      </c>
      <c r="B924" s="1" t="n">
        <v>44413</v>
      </c>
      <c r="C924" s="1" t="n">
        <v>45952</v>
      </c>
      <c r="D924" t="inlineStr">
        <is>
          <t>ÖREBRO LÄN</t>
        </is>
      </c>
      <c r="E924" t="inlineStr">
        <is>
          <t>ASKERSUND</t>
        </is>
      </c>
      <c r="G924" t="n">
        <v>2.3</v>
      </c>
      <c r="H924" t="n">
        <v>0</v>
      </c>
      <c r="I924" t="n">
        <v>0</v>
      </c>
      <c r="J924" t="n">
        <v>0</v>
      </c>
      <c r="K924" t="n">
        <v>0</v>
      </c>
      <c r="L924" t="n">
        <v>0</v>
      </c>
      <c r="M924" t="n">
        <v>0</v>
      </c>
      <c r="N924" t="n">
        <v>0</v>
      </c>
      <c r="O924" t="n">
        <v>0</v>
      </c>
      <c r="P924" t="n">
        <v>0</v>
      </c>
      <c r="Q924" t="n">
        <v>0</v>
      </c>
      <c r="R924" s="2" t="inlineStr"/>
    </row>
    <row r="925" ht="15" customHeight="1">
      <c r="A925" t="inlineStr">
        <is>
          <t>A 12615-2021</t>
        </is>
      </c>
      <c r="B925" s="1" t="n">
        <v>44267</v>
      </c>
      <c r="C925" s="1" t="n">
        <v>45952</v>
      </c>
      <c r="D925" t="inlineStr">
        <is>
          <t>ÖREBRO LÄN</t>
        </is>
      </c>
      <c r="E925" t="inlineStr">
        <is>
          <t>LINDESBERG</t>
        </is>
      </c>
      <c r="G925" t="n">
        <v>2.2</v>
      </c>
      <c r="H925" t="n">
        <v>0</v>
      </c>
      <c r="I925" t="n">
        <v>0</v>
      </c>
      <c r="J925" t="n">
        <v>0</v>
      </c>
      <c r="K925" t="n">
        <v>0</v>
      </c>
      <c r="L925" t="n">
        <v>0</v>
      </c>
      <c r="M925" t="n">
        <v>0</v>
      </c>
      <c r="N925" t="n">
        <v>0</v>
      </c>
      <c r="O925" t="n">
        <v>0</v>
      </c>
      <c r="P925" t="n">
        <v>0</v>
      </c>
      <c r="Q925" t="n">
        <v>0</v>
      </c>
      <c r="R925" s="2" t="inlineStr"/>
    </row>
    <row r="926" ht="15" customHeight="1">
      <c r="A926" t="inlineStr">
        <is>
          <t>A 26509-2021</t>
        </is>
      </c>
      <c r="B926" s="1" t="n">
        <v>44348.45107638889</v>
      </c>
      <c r="C926" s="1" t="n">
        <v>45952</v>
      </c>
      <c r="D926" t="inlineStr">
        <is>
          <t>ÖREBRO LÄN</t>
        </is>
      </c>
      <c r="E926" t="inlineStr">
        <is>
          <t>ÖREBRO</t>
        </is>
      </c>
      <c r="G926" t="n">
        <v>2.5</v>
      </c>
      <c r="H926" t="n">
        <v>0</v>
      </c>
      <c r="I926" t="n">
        <v>0</v>
      </c>
      <c r="J926" t="n">
        <v>0</v>
      </c>
      <c r="K926" t="n">
        <v>0</v>
      </c>
      <c r="L926" t="n">
        <v>0</v>
      </c>
      <c r="M926" t="n">
        <v>0</v>
      </c>
      <c r="N926" t="n">
        <v>0</v>
      </c>
      <c r="O926" t="n">
        <v>0</v>
      </c>
      <c r="P926" t="n">
        <v>0</v>
      </c>
      <c r="Q926" t="n">
        <v>0</v>
      </c>
      <c r="R926" s="2" t="inlineStr"/>
    </row>
    <row r="927" ht="15" customHeight="1">
      <c r="A927" t="inlineStr">
        <is>
          <t>A 33084-2021</t>
        </is>
      </c>
      <c r="B927" s="1" t="n">
        <v>44376</v>
      </c>
      <c r="C927" s="1" t="n">
        <v>45952</v>
      </c>
      <c r="D927" t="inlineStr">
        <is>
          <t>ÖREBRO LÄN</t>
        </is>
      </c>
      <c r="E927" t="inlineStr">
        <is>
          <t>LINDESBERG</t>
        </is>
      </c>
      <c r="G927" t="n">
        <v>3.1</v>
      </c>
      <c r="H927" t="n">
        <v>0</v>
      </c>
      <c r="I927" t="n">
        <v>0</v>
      </c>
      <c r="J927" t="n">
        <v>0</v>
      </c>
      <c r="K927" t="n">
        <v>0</v>
      </c>
      <c r="L927" t="n">
        <v>0</v>
      </c>
      <c r="M927" t="n">
        <v>0</v>
      </c>
      <c r="N927" t="n">
        <v>0</v>
      </c>
      <c r="O927" t="n">
        <v>0</v>
      </c>
      <c r="P927" t="n">
        <v>0</v>
      </c>
      <c r="Q927" t="n">
        <v>0</v>
      </c>
      <c r="R927" s="2" t="inlineStr"/>
    </row>
    <row r="928" ht="15" customHeight="1">
      <c r="A928" t="inlineStr">
        <is>
          <t>A 23720-2021</t>
        </is>
      </c>
      <c r="B928" s="1" t="n">
        <v>44334.75537037037</v>
      </c>
      <c r="C928" s="1" t="n">
        <v>45952</v>
      </c>
      <c r="D928" t="inlineStr">
        <is>
          <t>ÖREBRO LÄN</t>
        </is>
      </c>
      <c r="E928" t="inlineStr">
        <is>
          <t>ASKERSUND</t>
        </is>
      </c>
      <c r="F928" t="inlineStr">
        <is>
          <t>Sveaskog</t>
        </is>
      </c>
      <c r="G928" t="n">
        <v>0.5</v>
      </c>
      <c r="H928" t="n">
        <v>0</v>
      </c>
      <c r="I928" t="n">
        <v>0</v>
      </c>
      <c r="J928" t="n">
        <v>0</v>
      </c>
      <c r="K928" t="n">
        <v>0</v>
      </c>
      <c r="L928" t="n">
        <v>0</v>
      </c>
      <c r="M928" t="n">
        <v>0</v>
      </c>
      <c r="N928" t="n">
        <v>0</v>
      </c>
      <c r="O928" t="n">
        <v>0</v>
      </c>
      <c r="P928" t="n">
        <v>0</v>
      </c>
      <c r="Q928" t="n">
        <v>0</v>
      </c>
      <c r="R928" s="2" t="inlineStr"/>
    </row>
    <row r="929" ht="15" customHeight="1">
      <c r="A929" t="inlineStr">
        <is>
          <t>A 10083-2021</t>
        </is>
      </c>
      <c r="B929" s="1" t="n">
        <v>44256</v>
      </c>
      <c r="C929" s="1" t="n">
        <v>45952</v>
      </c>
      <c r="D929" t="inlineStr">
        <is>
          <t>ÖREBRO LÄN</t>
        </is>
      </c>
      <c r="E929" t="inlineStr">
        <is>
          <t>HÄLLEFORS</t>
        </is>
      </c>
      <c r="G929" t="n">
        <v>0.8</v>
      </c>
      <c r="H929" t="n">
        <v>0</v>
      </c>
      <c r="I929" t="n">
        <v>0</v>
      </c>
      <c r="J929" t="n">
        <v>0</v>
      </c>
      <c r="K929" t="n">
        <v>0</v>
      </c>
      <c r="L929" t="n">
        <v>0</v>
      </c>
      <c r="M929" t="n">
        <v>0</v>
      </c>
      <c r="N929" t="n">
        <v>0</v>
      </c>
      <c r="O929" t="n">
        <v>0</v>
      </c>
      <c r="P929" t="n">
        <v>0</v>
      </c>
      <c r="Q929" t="n">
        <v>0</v>
      </c>
      <c r="R929" s="2" t="inlineStr"/>
    </row>
    <row r="930" ht="15" customHeight="1">
      <c r="A930" t="inlineStr">
        <is>
          <t>A 5043-2022</t>
        </is>
      </c>
      <c r="B930" s="1" t="n">
        <v>44593</v>
      </c>
      <c r="C930" s="1" t="n">
        <v>45952</v>
      </c>
      <c r="D930" t="inlineStr">
        <is>
          <t>ÖREBRO LÄN</t>
        </is>
      </c>
      <c r="E930" t="inlineStr">
        <is>
          <t>LEKEBERG</t>
        </is>
      </c>
      <c r="G930" t="n">
        <v>0.6</v>
      </c>
      <c r="H930" t="n">
        <v>0</v>
      </c>
      <c r="I930" t="n">
        <v>0</v>
      </c>
      <c r="J930" t="n">
        <v>0</v>
      </c>
      <c r="K930" t="n">
        <v>0</v>
      </c>
      <c r="L930" t="n">
        <v>0</v>
      </c>
      <c r="M930" t="n">
        <v>0</v>
      </c>
      <c r="N930" t="n">
        <v>0</v>
      </c>
      <c r="O930" t="n">
        <v>0</v>
      </c>
      <c r="P930" t="n">
        <v>0</v>
      </c>
      <c r="Q930" t="n">
        <v>0</v>
      </c>
      <c r="R930" s="2" t="inlineStr"/>
    </row>
    <row r="931" ht="15" customHeight="1">
      <c r="A931" t="inlineStr">
        <is>
          <t>A 64372-2021</t>
        </is>
      </c>
      <c r="B931" s="1" t="n">
        <v>44511.39611111111</v>
      </c>
      <c r="C931" s="1" t="n">
        <v>45952</v>
      </c>
      <c r="D931" t="inlineStr">
        <is>
          <t>ÖREBRO LÄN</t>
        </is>
      </c>
      <c r="E931" t="inlineStr">
        <is>
          <t>LINDESBERG</t>
        </is>
      </c>
      <c r="G931" t="n">
        <v>3.6</v>
      </c>
      <c r="H931" t="n">
        <v>0</v>
      </c>
      <c r="I931" t="n">
        <v>0</v>
      </c>
      <c r="J931" t="n">
        <v>0</v>
      </c>
      <c r="K931" t="n">
        <v>0</v>
      </c>
      <c r="L931" t="n">
        <v>0</v>
      </c>
      <c r="M931" t="n">
        <v>0</v>
      </c>
      <c r="N931" t="n">
        <v>0</v>
      </c>
      <c r="O931" t="n">
        <v>0</v>
      </c>
      <c r="P931" t="n">
        <v>0</v>
      </c>
      <c r="Q931" t="n">
        <v>0</v>
      </c>
      <c r="R931" s="2" t="inlineStr"/>
    </row>
    <row r="932" ht="15" customHeight="1">
      <c r="A932" t="inlineStr">
        <is>
          <t>A 21695-2022</t>
        </is>
      </c>
      <c r="B932" s="1" t="n">
        <v>44707.88415509259</v>
      </c>
      <c r="C932" s="1" t="n">
        <v>45952</v>
      </c>
      <c r="D932" t="inlineStr">
        <is>
          <t>ÖREBRO LÄN</t>
        </is>
      </c>
      <c r="E932" t="inlineStr">
        <is>
          <t>NORA</t>
        </is>
      </c>
      <c r="G932" t="n">
        <v>0.9</v>
      </c>
      <c r="H932" t="n">
        <v>0</v>
      </c>
      <c r="I932" t="n">
        <v>0</v>
      </c>
      <c r="J932" t="n">
        <v>0</v>
      </c>
      <c r="K932" t="n">
        <v>0</v>
      </c>
      <c r="L932" t="n">
        <v>0</v>
      </c>
      <c r="M932" t="n">
        <v>0</v>
      </c>
      <c r="N932" t="n">
        <v>0</v>
      </c>
      <c r="O932" t="n">
        <v>0</v>
      </c>
      <c r="P932" t="n">
        <v>0</v>
      </c>
      <c r="Q932" t="n">
        <v>0</v>
      </c>
      <c r="R932" s="2" t="inlineStr"/>
    </row>
    <row r="933" ht="15" customHeight="1">
      <c r="A933" t="inlineStr">
        <is>
          <t>A 59542-2021</t>
        </is>
      </c>
      <c r="B933" s="1" t="n">
        <v>44491.59105324074</v>
      </c>
      <c r="C933" s="1" t="n">
        <v>45952</v>
      </c>
      <c r="D933" t="inlineStr">
        <is>
          <t>ÖREBRO LÄN</t>
        </is>
      </c>
      <c r="E933" t="inlineStr">
        <is>
          <t>LEKEBERG</t>
        </is>
      </c>
      <c r="G933" t="n">
        <v>0.7</v>
      </c>
      <c r="H933" t="n">
        <v>0</v>
      </c>
      <c r="I933" t="n">
        <v>0</v>
      </c>
      <c r="J933" t="n">
        <v>0</v>
      </c>
      <c r="K933" t="n">
        <v>0</v>
      </c>
      <c r="L933" t="n">
        <v>0</v>
      </c>
      <c r="M933" t="n">
        <v>0</v>
      </c>
      <c r="N933" t="n">
        <v>0</v>
      </c>
      <c r="O933" t="n">
        <v>0</v>
      </c>
      <c r="P933" t="n">
        <v>0</v>
      </c>
      <c r="Q933" t="n">
        <v>0</v>
      </c>
      <c r="R933" s="2" t="inlineStr"/>
    </row>
    <row r="934" ht="15" customHeight="1">
      <c r="A934" t="inlineStr">
        <is>
          <t>A 55757-2021</t>
        </is>
      </c>
      <c r="B934" s="1" t="n">
        <v>44476.51611111111</v>
      </c>
      <c r="C934" s="1" t="n">
        <v>45952</v>
      </c>
      <c r="D934" t="inlineStr">
        <is>
          <t>ÖREBRO LÄN</t>
        </is>
      </c>
      <c r="E934" t="inlineStr">
        <is>
          <t>KUMLA</t>
        </is>
      </c>
      <c r="G934" t="n">
        <v>3.4</v>
      </c>
      <c r="H934" t="n">
        <v>0</v>
      </c>
      <c r="I934" t="n">
        <v>0</v>
      </c>
      <c r="J934" t="n">
        <v>0</v>
      </c>
      <c r="K934" t="n">
        <v>0</v>
      </c>
      <c r="L934" t="n">
        <v>0</v>
      </c>
      <c r="M934" t="n">
        <v>0</v>
      </c>
      <c r="N934" t="n">
        <v>0</v>
      </c>
      <c r="O934" t="n">
        <v>0</v>
      </c>
      <c r="P934" t="n">
        <v>0</v>
      </c>
      <c r="Q934" t="n">
        <v>0</v>
      </c>
      <c r="R934" s="2" t="inlineStr"/>
    </row>
    <row r="935" ht="15" customHeight="1">
      <c r="A935" t="inlineStr">
        <is>
          <t>A 55760-2021</t>
        </is>
      </c>
      <c r="B935" s="1" t="n">
        <v>44476.52109953704</v>
      </c>
      <c r="C935" s="1" t="n">
        <v>45952</v>
      </c>
      <c r="D935" t="inlineStr">
        <is>
          <t>ÖREBRO LÄN</t>
        </is>
      </c>
      <c r="E935" t="inlineStr">
        <is>
          <t>KUMLA</t>
        </is>
      </c>
      <c r="G935" t="n">
        <v>2.2</v>
      </c>
      <c r="H935" t="n">
        <v>0</v>
      </c>
      <c r="I935" t="n">
        <v>0</v>
      </c>
      <c r="J935" t="n">
        <v>0</v>
      </c>
      <c r="K935" t="n">
        <v>0</v>
      </c>
      <c r="L935" t="n">
        <v>0</v>
      </c>
      <c r="M935" t="n">
        <v>0</v>
      </c>
      <c r="N935" t="n">
        <v>0</v>
      </c>
      <c r="O935" t="n">
        <v>0</v>
      </c>
      <c r="P935" t="n">
        <v>0</v>
      </c>
      <c r="Q935" t="n">
        <v>0</v>
      </c>
      <c r="R935" s="2" t="inlineStr"/>
    </row>
    <row r="936" ht="15" customHeight="1">
      <c r="A936" t="inlineStr">
        <is>
          <t>A 55765-2021</t>
        </is>
      </c>
      <c r="B936" s="1" t="n">
        <v>44476</v>
      </c>
      <c r="C936" s="1" t="n">
        <v>45952</v>
      </c>
      <c r="D936" t="inlineStr">
        <is>
          <t>ÖREBRO LÄN</t>
        </is>
      </c>
      <c r="E936" t="inlineStr">
        <is>
          <t>KUMLA</t>
        </is>
      </c>
      <c r="G936" t="n">
        <v>3.6</v>
      </c>
      <c r="H936" t="n">
        <v>0</v>
      </c>
      <c r="I936" t="n">
        <v>0</v>
      </c>
      <c r="J936" t="n">
        <v>0</v>
      </c>
      <c r="K936" t="n">
        <v>0</v>
      </c>
      <c r="L936" t="n">
        <v>0</v>
      </c>
      <c r="M936" t="n">
        <v>0</v>
      </c>
      <c r="N936" t="n">
        <v>0</v>
      </c>
      <c r="O936" t="n">
        <v>0</v>
      </c>
      <c r="P936" t="n">
        <v>0</v>
      </c>
      <c r="Q936" t="n">
        <v>0</v>
      </c>
      <c r="R936" s="2" t="inlineStr"/>
    </row>
    <row r="937" ht="15" customHeight="1">
      <c r="A937" t="inlineStr">
        <is>
          <t>A 4766-2022</t>
        </is>
      </c>
      <c r="B937" s="1" t="n">
        <v>44592</v>
      </c>
      <c r="C937" s="1" t="n">
        <v>45952</v>
      </c>
      <c r="D937" t="inlineStr">
        <is>
          <t>ÖREBRO LÄN</t>
        </is>
      </c>
      <c r="E937" t="inlineStr">
        <is>
          <t>ÖREBRO</t>
        </is>
      </c>
      <c r="G937" t="n">
        <v>2.9</v>
      </c>
      <c r="H937" t="n">
        <v>0</v>
      </c>
      <c r="I937" t="n">
        <v>0</v>
      </c>
      <c r="J937" t="n">
        <v>0</v>
      </c>
      <c r="K937" t="n">
        <v>0</v>
      </c>
      <c r="L937" t="n">
        <v>0</v>
      </c>
      <c r="M937" t="n">
        <v>0</v>
      </c>
      <c r="N937" t="n">
        <v>0</v>
      </c>
      <c r="O937" t="n">
        <v>0</v>
      </c>
      <c r="P937" t="n">
        <v>0</v>
      </c>
      <c r="Q937" t="n">
        <v>0</v>
      </c>
      <c r="R937" s="2" t="inlineStr"/>
    </row>
    <row r="938" ht="15" customHeight="1">
      <c r="A938" t="inlineStr">
        <is>
          <t>A 22116-2021</t>
        </is>
      </c>
      <c r="B938" s="1" t="n">
        <v>44323.73480324074</v>
      </c>
      <c r="C938" s="1" t="n">
        <v>45952</v>
      </c>
      <c r="D938" t="inlineStr">
        <is>
          <t>ÖREBRO LÄN</t>
        </is>
      </c>
      <c r="E938" t="inlineStr">
        <is>
          <t>ASKERSUND</t>
        </is>
      </c>
      <c r="F938" t="inlineStr">
        <is>
          <t>Sveaskog</t>
        </is>
      </c>
      <c r="G938" t="n">
        <v>1.4</v>
      </c>
      <c r="H938" t="n">
        <v>0</v>
      </c>
      <c r="I938" t="n">
        <v>0</v>
      </c>
      <c r="J938" t="n">
        <v>0</v>
      </c>
      <c r="K938" t="n">
        <v>0</v>
      </c>
      <c r="L938" t="n">
        <v>0</v>
      </c>
      <c r="M938" t="n">
        <v>0</v>
      </c>
      <c r="N938" t="n">
        <v>0</v>
      </c>
      <c r="O938" t="n">
        <v>0</v>
      </c>
      <c r="P938" t="n">
        <v>0</v>
      </c>
      <c r="Q938" t="n">
        <v>0</v>
      </c>
      <c r="R938" s="2" t="inlineStr"/>
    </row>
    <row r="939" ht="15" customHeight="1">
      <c r="A939" t="inlineStr">
        <is>
          <t>A 12511-2021</t>
        </is>
      </c>
      <c r="B939" s="1" t="n">
        <v>44268.55900462963</v>
      </c>
      <c r="C939" s="1" t="n">
        <v>45952</v>
      </c>
      <c r="D939" t="inlineStr">
        <is>
          <t>ÖREBRO LÄN</t>
        </is>
      </c>
      <c r="E939" t="inlineStr">
        <is>
          <t>LINDESBERG</t>
        </is>
      </c>
      <c r="G939" t="n">
        <v>5.2</v>
      </c>
      <c r="H939" t="n">
        <v>0</v>
      </c>
      <c r="I939" t="n">
        <v>0</v>
      </c>
      <c r="J939" t="n">
        <v>0</v>
      </c>
      <c r="K939" t="n">
        <v>0</v>
      </c>
      <c r="L939" t="n">
        <v>0</v>
      </c>
      <c r="M939" t="n">
        <v>0</v>
      </c>
      <c r="N939" t="n">
        <v>0</v>
      </c>
      <c r="O939" t="n">
        <v>0</v>
      </c>
      <c r="P939" t="n">
        <v>0</v>
      </c>
      <c r="Q939" t="n">
        <v>0</v>
      </c>
      <c r="R939" s="2" t="inlineStr"/>
    </row>
    <row r="940" ht="15" customHeight="1">
      <c r="A940" t="inlineStr">
        <is>
          <t>A 69035-2021</t>
        </is>
      </c>
      <c r="B940" s="1" t="n">
        <v>44530</v>
      </c>
      <c r="C940" s="1" t="n">
        <v>45952</v>
      </c>
      <c r="D940" t="inlineStr">
        <is>
          <t>ÖREBRO LÄN</t>
        </is>
      </c>
      <c r="E940" t="inlineStr">
        <is>
          <t>LAXÅ</t>
        </is>
      </c>
      <c r="F940" t="inlineStr">
        <is>
          <t>Sveaskog</t>
        </is>
      </c>
      <c r="G940" t="n">
        <v>2.6</v>
      </c>
      <c r="H940" t="n">
        <v>0</v>
      </c>
      <c r="I940" t="n">
        <v>0</v>
      </c>
      <c r="J940" t="n">
        <v>0</v>
      </c>
      <c r="K940" t="n">
        <v>0</v>
      </c>
      <c r="L940" t="n">
        <v>0</v>
      </c>
      <c r="M940" t="n">
        <v>0</v>
      </c>
      <c r="N940" t="n">
        <v>0</v>
      </c>
      <c r="O940" t="n">
        <v>0</v>
      </c>
      <c r="P940" t="n">
        <v>0</v>
      </c>
      <c r="Q940" t="n">
        <v>0</v>
      </c>
      <c r="R940" s="2" t="inlineStr"/>
    </row>
    <row r="941" ht="15" customHeight="1">
      <c r="A941" t="inlineStr">
        <is>
          <t>A 2804-2021</t>
        </is>
      </c>
      <c r="B941" s="1" t="n">
        <v>44215</v>
      </c>
      <c r="C941" s="1" t="n">
        <v>45952</v>
      </c>
      <c r="D941" t="inlineStr">
        <is>
          <t>ÖREBRO LÄN</t>
        </is>
      </c>
      <c r="E941" t="inlineStr">
        <is>
          <t>KARLSKOGA</t>
        </is>
      </c>
      <c r="G941" t="n">
        <v>1.9</v>
      </c>
      <c r="H941" t="n">
        <v>0</v>
      </c>
      <c r="I941" t="n">
        <v>0</v>
      </c>
      <c r="J941" t="n">
        <v>0</v>
      </c>
      <c r="K941" t="n">
        <v>0</v>
      </c>
      <c r="L941" t="n">
        <v>0</v>
      </c>
      <c r="M941" t="n">
        <v>0</v>
      </c>
      <c r="N941" t="n">
        <v>0</v>
      </c>
      <c r="O941" t="n">
        <v>0</v>
      </c>
      <c r="P941" t="n">
        <v>0</v>
      </c>
      <c r="Q941" t="n">
        <v>0</v>
      </c>
      <c r="R941" s="2" t="inlineStr"/>
    </row>
    <row r="942" ht="15" customHeight="1">
      <c r="A942" t="inlineStr">
        <is>
          <t>A 65716-2020</t>
        </is>
      </c>
      <c r="B942" s="1" t="n">
        <v>44174</v>
      </c>
      <c r="C942" s="1" t="n">
        <v>45952</v>
      </c>
      <c r="D942" t="inlineStr">
        <is>
          <t>ÖREBRO LÄN</t>
        </is>
      </c>
      <c r="E942" t="inlineStr">
        <is>
          <t>ASKERSUND</t>
        </is>
      </c>
      <c r="G942" t="n">
        <v>1.2</v>
      </c>
      <c r="H942" t="n">
        <v>0</v>
      </c>
      <c r="I942" t="n">
        <v>0</v>
      </c>
      <c r="J942" t="n">
        <v>0</v>
      </c>
      <c r="K942" t="n">
        <v>0</v>
      </c>
      <c r="L942" t="n">
        <v>0</v>
      </c>
      <c r="M942" t="n">
        <v>0</v>
      </c>
      <c r="N942" t="n">
        <v>0</v>
      </c>
      <c r="O942" t="n">
        <v>0</v>
      </c>
      <c r="P942" t="n">
        <v>0</v>
      </c>
      <c r="Q942" t="n">
        <v>0</v>
      </c>
      <c r="R942" s="2" t="inlineStr"/>
    </row>
    <row r="943" ht="15" customHeight="1">
      <c r="A943" t="inlineStr">
        <is>
          <t>A 42184-2021</t>
        </is>
      </c>
      <c r="B943" s="1" t="n">
        <v>44426</v>
      </c>
      <c r="C943" s="1" t="n">
        <v>45952</v>
      </c>
      <c r="D943" t="inlineStr">
        <is>
          <t>ÖREBRO LÄN</t>
        </is>
      </c>
      <c r="E943" t="inlineStr">
        <is>
          <t>LAXÅ</t>
        </is>
      </c>
      <c r="F943" t="inlineStr">
        <is>
          <t>Sveaskog</t>
        </is>
      </c>
      <c r="G943" t="n">
        <v>0.9</v>
      </c>
      <c r="H943" t="n">
        <v>0</v>
      </c>
      <c r="I943" t="n">
        <v>0</v>
      </c>
      <c r="J943" t="n">
        <v>0</v>
      </c>
      <c r="K943" t="n">
        <v>0</v>
      </c>
      <c r="L943" t="n">
        <v>0</v>
      </c>
      <c r="M943" t="n">
        <v>0</v>
      </c>
      <c r="N943" t="n">
        <v>0</v>
      </c>
      <c r="O943" t="n">
        <v>0</v>
      </c>
      <c r="P943" t="n">
        <v>0</v>
      </c>
      <c r="Q943" t="n">
        <v>0</v>
      </c>
      <c r="R943" s="2" t="inlineStr"/>
    </row>
    <row r="944" ht="15" customHeight="1">
      <c r="A944" t="inlineStr">
        <is>
          <t>A 58541-2020</t>
        </is>
      </c>
      <c r="B944" s="1" t="n">
        <v>44145</v>
      </c>
      <c r="C944" s="1" t="n">
        <v>45952</v>
      </c>
      <c r="D944" t="inlineStr">
        <is>
          <t>ÖREBRO LÄN</t>
        </is>
      </c>
      <c r="E944" t="inlineStr">
        <is>
          <t>ASKERSUND</t>
        </is>
      </c>
      <c r="G944" t="n">
        <v>3.8</v>
      </c>
      <c r="H944" t="n">
        <v>0</v>
      </c>
      <c r="I944" t="n">
        <v>0</v>
      </c>
      <c r="J944" t="n">
        <v>0</v>
      </c>
      <c r="K944" t="n">
        <v>0</v>
      </c>
      <c r="L944" t="n">
        <v>0</v>
      </c>
      <c r="M944" t="n">
        <v>0</v>
      </c>
      <c r="N944" t="n">
        <v>0</v>
      </c>
      <c r="O944" t="n">
        <v>0</v>
      </c>
      <c r="P944" t="n">
        <v>0</v>
      </c>
      <c r="Q944" t="n">
        <v>0</v>
      </c>
      <c r="R944" s="2" t="inlineStr"/>
    </row>
    <row r="945" ht="15" customHeight="1">
      <c r="A945" t="inlineStr">
        <is>
          <t>A 59671-2021</t>
        </is>
      </c>
      <c r="B945" s="1" t="n">
        <v>44491</v>
      </c>
      <c r="C945" s="1" t="n">
        <v>45952</v>
      </c>
      <c r="D945" t="inlineStr">
        <is>
          <t>ÖREBRO LÄN</t>
        </is>
      </c>
      <c r="E945" t="inlineStr">
        <is>
          <t>LINDESBERG</t>
        </is>
      </c>
      <c r="G945" t="n">
        <v>7</v>
      </c>
      <c r="H945" t="n">
        <v>0</v>
      </c>
      <c r="I945" t="n">
        <v>0</v>
      </c>
      <c r="J945" t="n">
        <v>0</v>
      </c>
      <c r="K945" t="n">
        <v>0</v>
      </c>
      <c r="L945" t="n">
        <v>0</v>
      </c>
      <c r="M945" t="n">
        <v>0</v>
      </c>
      <c r="N945" t="n">
        <v>0</v>
      </c>
      <c r="O945" t="n">
        <v>0</v>
      </c>
      <c r="P945" t="n">
        <v>0</v>
      </c>
      <c r="Q945" t="n">
        <v>0</v>
      </c>
      <c r="R945" s="2" t="inlineStr"/>
    </row>
    <row r="946" ht="15" customHeight="1">
      <c r="A946" t="inlineStr">
        <is>
          <t>A 15329-2021</t>
        </is>
      </c>
      <c r="B946" s="1" t="n">
        <v>44284</v>
      </c>
      <c r="C946" s="1" t="n">
        <v>45952</v>
      </c>
      <c r="D946" t="inlineStr">
        <is>
          <t>ÖREBRO LÄN</t>
        </is>
      </c>
      <c r="E946" t="inlineStr">
        <is>
          <t>LJUSNARSBERG</t>
        </is>
      </c>
      <c r="G946" t="n">
        <v>6.1</v>
      </c>
      <c r="H946" t="n">
        <v>0</v>
      </c>
      <c r="I946" t="n">
        <v>0</v>
      </c>
      <c r="J946" t="n">
        <v>0</v>
      </c>
      <c r="K946" t="n">
        <v>0</v>
      </c>
      <c r="L946" t="n">
        <v>0</v>
      </c>
      <c r="M946" t="n">
        <v>0</v>
      </c>
      <c r="N946" t="n">
        <v>0</v>
      </c>
      <c r="O946" t="n">
        <v>0</v>
      </c>
      <c r="P946" t="n">
        <v>0</v>
      </c>
      <c r="Q946" t="n">
        <v>0</v>
      </c>
      <c r="R946" s="2" t="inlineStr"/>
    </row>
    <row r="947" ht="15" customHeight="1">
      <c r="A947" t="inlineStr">
        <is>
          <t>A 24077-2022</t>
        </is>
      </c>
      <c r="B947" s="1" t="n">
        <v>44723</v>
      </c>
      <c r="C947" s="1" t="n">
        <v>45952</v>
      </c>
      <c r="D947" t="inlineStr">
        <is>
          <t>ÖREBRO LÄN</t>
        </is>
      </c>
      <c r="E947" t="inlineStr">
        <is>
          <t>KUMLA</t>
        </is>
      </c>
      <c r="G947" t="n">
        <v>1.1</v>
      </c>
      <c r="H947" t="n">
        <v>0</v>
      </c>
      <c r="I947" t="n">
        <v>0</v>
      </c>
      <c r="J947" t="n">
        <v>0</v>
      </c>
      <c r="K947" t="n">
        <v>0</v>
      </c>
      <c r="L947" t="n">
        <v>0</v>
      </c>
      <c r="M947" t="n">
        <v>0</v>
      </c>
      <c r="N947" t="n">
        <v>0</v>
      </c>
      <c r="O947" t="n">
        <v>0</v>
      </c>
      <c r="P947" t="n">
        <v>0</v>
      </c>
      <c r="Q947" t="n">
        <v>0</v>
      </c>
      <c r="R947" s="2" t="inlineStr"/>
    </row>
    <row r="948" ht="15" customHeight="1">
      <c r="A948" t="inlineStr">
        <is>
          <t>A 11002-2021</t>
        </is>
      </c>
      <c r="B948" s="1" t="n">
        <v>44260</v>
      </c>
      <c r="C948" s="1" t="n">
        <v>45952</v>
      </c>
      <c r="D948" t="inlineStr">
        <is>
          <t>ÖREBRO LÄN</t>
        </is>
      </c>
      <c r="E948" t="inlineStr">
        <is>
          <t>HÄLLEFORS</t>
        </is>
      </c>
      <c r="F948" t="inlineStr">
        <is>
          <t>Bergvik skog väst AB</t>
        </is>
      </c>
      <c r="G948" t="n">
        <v>0.8</v>
      </c>
      <c r="H948" t="n">
        <v>0</v>
      </c>
      <c r="I948" t="n">
        <v>0</v>
      </c>
      <c r="J948" t="n">
        <v>0</v>
      </c>
      <c r="K948" t="n">
        <v>0</v>
      </c>
      <c r="L948" t="n">
        <v>0</v>
      </c>
      <c r="M948" t="n">
        <v>0</v>
      </c>
      <c r="N948" t="n">
        <v>0</v>
      </c>
      <c r="O948" t="n">
        <v>0</v>
      </c>
      <c r="P948" t="n">
        <v>0</v>
      </c>
      <c r="Q948" t="n">
        <v>0</v>
      </c>
      <c r="R948" s="2" t="inlineStr"/>
    </row>
    <row r="949" ht="15" customHeight="1">
      <c r="A949" t="inlineStr">
        <is>
          <t>A 69613-2020</t>
        </is>
      </c>
      <c r="B949" s="1" t="n">
        <v>44195</v>
      </c>
      <c r="C949" s="1" t="n">
        <v>45952</v>
      </c>
      <c r="D949" t="inlineStr">
        <is>
          <t>ÖREBRO LÄN</t>
        </is>
      </c>
      <c r="E949" t="inlineStr">
        <is>
          <t>ÖREBRO</t>
        </is>
      </c>
      <c r="G949" t="n">
        <v>4.7</v>
      </c>
      <c r="H949" t="n">
        <v>0</v>
      </c>
      <c r="I949" t="n">
        <v>0</v>
      </c>
      <c r="J949" t="n">
        <v>0</v>
      </c>
      <c r="K949" t="n">
        <v>0</v>
      </c>
      <c r="L949" t="n">
        <v>0</v>
      </c>
      <c r="M949" t="n">
        <v>0</v>
      </c>
      <c r="N949" t="n">
        <v>0</v>
      </c>
      <c r="O949" t="n">
        <v>0</v>
      </c>
      <c r="P949" t="n">
        <v>0</v>
      </c>
      <c r="Q949" t="n">
        <v>0</v>
      </c>
      <c r="R949" s="2" t="inlineStr"/>
    </row>
    <row r="950" ht="15" customHeight="1">
      <c r="A950" t="inlineStr">
        <is>
          <t>A 36504-2021</t>
        </is>
      </c>
      <c r="B950" s="1" t="n">
        <v>44391</v>
      </c>
      <c r="C950" s="1" t="n">
        <v>45952</v>
      </c>
      <c r="D950" t="inlineStr">
        <is>
          <t>ÖREBRO LÄN</t>
        </is>
      </c>
      <c r="E950" t="inlineStr">
        <is>
          <t>ASKERSUND</t>
        </is>
      </c>
      <c r="F950" t="inlineStr">
        <is>
          <t>Sveaskog</t>
        </is>
      </c>
      <c r="G950" t="n">
        <v>0.5</v>
      </c>
      <c r="H950" t="n">
        <v>0</v>
      </c>
      <c r="I950" t="n">
        <v>0</v>
      </c>
      <c r="J950" t="n">
        <v>0</v>
      </c>
      <c r="K950" t="n">
        <v>0</v>
      </c>
      <c r="L950" t="n">
        <v>0</v>
      </c>
      <c r="M950" t="n">
        <v>0</v>
      </c>
      <c r="N950" t="n">
        <v>0</v>
      </c>
      <c r="O950" t="n">
        <v>0</v>
      </c>
      <c r="P950" t="n">
        <v>0</v>
      </c>
      <c r="Q950" t="n">
        <v>0</v>
      </c>
      <c r="R950" s="2" t="inlineStr"/>
    </row>
    <row r="951" ht="15" customHeight="1">
      <c r="A951" t="inlineStr">
        <is>
          <t>A 59294-2020</t>
        </is>
      </c>
      <c r="B951" s="1" t="n">
        <v>44147</v>
      </c>
      <c r="C951" s="1" t="n">
        <v>45952</v>
      </c>
      <c r="D951" t="inlineStr">
        <is>
          <t>ÖREBRO LÄN</t>
        </is>
      </c>
      <c r="E951" t="inlineStr">
        <is>
          <t>HÄLLEFORS</t>
        </is>
      </c>
      <c r="F951" t="inlineStr">
        <is>
          <t>Kyrkan</t>
        </is>
      </c>
      <c r="G951" t="n">
        <v>10.2</v>
      </c>
      <c r="H951" t="n">
        <v>0</v>
      </c>
      <c r="I951" t="n">
        <v>0</v>
      </c>
      <c r="J951" t="n">
        <v>0</v>
      </c>
      <c r="K951" t="n">
        <v>0</v>
      </c>
      <c r="L951" t="n">
        <v>0</v>
      </c>
      <c r="M951" t="n">
        <v>0</v>
      </c>
      <c r="N951" t="n">
        <v>0</v>
      </c>
      <c r="O951" t="n">
        <v>0</v>
      </c>
      <c r="P951" t="n">
        <v>0</v>
      </c>
      <c r="Q951" t="n">
        <v>0</v>
      </c>
      <c r="R951" s="2" t="inlineStr"/>
    </row>
    <row r="952" ht="15" customHeight="1">
      <c r="A952" t="inlineStr">
        <is>
          <t>A 19468-2021</t>
        </is>
      </c>
      <c r="B952" s="1" t="n">
        <v>44311</v>
      </c>
      <c r="C952" s="1" t="n">
        <v>45952</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3087-2021</t>
        </is>
      </c>
      <c r="B953" s="1" t="n">
        <v>44216</v>
      </c>
      <c r="C953" s="1" t="n">
        <v>45952</v>
      </c>
      <c r="D953" t="inlineStr">
        <is>
          <t>ÖREBRO LÄN</t>
        </is>
      </c>
      <c r="E953" t="inlineStr">
        <is>
          <t>ÖREBRO</t>
        </is>
      </c>
      <c r="G953" t="n">
        <v>0.6</v>
      </c>
      <c r="H953" t="n">
        <v>0</v>
      </c>
      <c r="I953" t="n">
        <v>0</v>
      </c>
      <c r="J953" t="n">
        <v>0</v>
      </c>
      <c r="K953" t="n">
        <v>0</v>
      </c>
      <c r="L953" t="n">
        <v>0</v>
      </c>
      <c r="M953" t="n">
        <v>0</v>
      </c>
      <c r="N953" t="n">
        <v>0</v>
      </c>
      <c r="O953" t="n">
        <v>0</v>
      </c>
      <c r="P953" t="n">
        <v>0</v>
      </c>
      <c r="Q953" t="n">
        <v>0</v>
      </c>
      <c r="R953" s="2" t="inlineStr"/>
    </row>
    <row r="954" ht="15" customHeight="1">
      <c r="A954" t="inlineStr">
        <is>
          <t>A 55994-2020</t>
        </is>
      </c>
      <c r="B954" s="1" t="n">
        <v>44133</v>
      </c>
      <c r="C954" s="1" t="n">
        <v>45952</v>
      </c>
      <c r="D954" t="inlineStr">
        <is>
          <t>ÖREBRO LÄN</t>
        </is>
      </c>
      <c r="E954" t="inlineStr">
        <is>
          <t>LAXÅ</t>
        </is>
      </c>
      <c r="G954" t="n">
        <v>1.6</v>
      </c>
      <c r="H954" t="n">
        <v>0</v>
      </c>
      <c r="I954" t="n">
        <v>0</v>
      </c>
      <c r="J954" t="n">
        <v>0</v>
      </c>
      <c r="K954" t="n">
        <v>0</v>
      </c>
      <c r="L954" t="n">
        <v>0</v>
      </c>
      <c r="M954" t="n">
        <v>0</v>
      </c>
      <c r="N954" t="n">
        <v>0</v>
      </c>
      <c r="O954" t="n">
        <v>0</v>
      </c>
      <c r="P954" t="n">
        <v>0</v>
      </c>
      <c r="Q954" t="n">
        <v>0</v>
      </c>
      <c r="R954" s="2" t="inlineStr"/>
    </row>
    <row r="955" ht="15" customHeight="1">
      <c r="A955" t="inlineStr">
        <is>
          <t>A 45117-2021</t>
        </is>
      </c>
      <c r="B955" s="1" t="n">
        <v>44439</v>
      </c>
      <c r="C955" s="1" t="n">
        <v>45952</v>
      </c>
      <c r="D955" t="inlineStr">
        <is>
          <t>ÖREBRO LÄN</t>
        </is>
      </c>
      <c r="E955" t="inlineStr">
        <is>
          <t>KARLSKOGA</t>
        </is>
      </c>
      <c r="G955" t="n">
        <v>6.5</v>
      </c>
      <c r="H955" t="n">
        <v>0</v>
      </c>
      <c r="I955" t="n">
        <v>0</v>
      </c>
      <c r="J955" t="n">
        <v>0</v>
      </c>
      <c r="K955" t="n">
        <v>0</v>
      </c>
      <c r="L955" t="n">
        <v>0</v>
      </c>
      <c r="M955" t="n">
        <v>0</v>
      </c>
      <c r="N955" t="n">
        <v>0</v>
      </c>
      <c r="O955" t="n">
        <v>0</v>
      </c>
      <c r="P955" t="n">
        <v>0</v>
      </c>
      <c r="Q955" t="n">
        <v>0</v>
      </c>
      <c r="R955" s="2" t="inlineStr"/>
    </row>
    <row r="956" ht="15" customHeight="1">
      <c r="A956" t="inlineStr">
        <is>
          <t>A 7598-2022</t>
        </is>
      </c>
      <c r="B956" s="1" t="n">
        <v>44607.64115740741</v>
      </c>
      <c r="C956" s="1" t="n">
        <v>45952</v>
      </c>
      <c r="D956" t="inlineStr">
        <is>
          <t>ÖREBRO LÄN</t>
        </is>
      </c>
      <c r="E956" t="inlineStr">
        <is>
          <t>LINDESBERG</t>
        </is>
      </c>
      <c r="G956" t="n">
        <v>3.1</v>
      </c>
      <c r="H956" t="n">
        <v>0</v>
      </c>
      <c r="I956" t="n">
        <v>0</v>
      </c>
      <c r="J956" t="n">
        <v>0</v>
      </c>
      <c r="K956" t="n">
        <v>0</v>
      </c>
      <c r="L956" t="n">
        <v>0</v>
      </c>
      <c r="M956" t="n">
        <v>0</v>
      </c>
      <c r="N956" t="n">
        <v>0</v>
      </c>
      <c r="O956" t="n">
        <v>0</v>
      </c>
      <c r="P956" t="n">
        <v>0</v>
      </c>
      <c r="Q956" t="n">
        <v>0</v>
      </c>
      <c r="R956" s="2" t="inlineStr"/>
    </row>
    <row r="957" ht="15" customHeight="1">
      <c r="A957" t="inlineStr">
        <is>
          <t>A 6065-2021</t>
        </is>
      </c>
      <c r="B957" s="1" t="n">
        <v>44232</v>
      </c>
      <c r="C957" s="1" t="n">
        <v>45952</v>
      </c>
      <c r="D957" t="inlineStr">
        <is>
          <t>ÖREBRO LÄN</t>
        </is>
      </c>
      <c r="E957" t="inlineStr">
        <is>
          <t>ASKERSUND</t>
        </is>
      </c>
      <c r="G957" t="n">
        <v>0.8</v>
      </c>
      <c r="H957" t="n">
        <v>0</v>
      </c>
      <c r="I957" t="n">
        <v>0</v>
      </c>
      <c r="J957" t="n">
        <v>0</v>
      </c>
      <c r="K957" t="n">
        <v>0</v>
      </c>
      <c r="L957" t="n">
        <v>0</v>
      </c>
      <c r="M957" t="n">
        <v>0</v>
      </c>
      <c r="N957" t="n">
        <v>0</v>
      </c>
      <c r="O957" t="n">
        <v>0</v>
      </c>
      <c r="P957" t="n">
        <v>0</v>
      </c>
      <c r="Q957" t="n">
        <v>0</v>
      </c>
      <c r="R957" s="2" t="inlineStr"/>
    </row>
    <row r="958" ht="15" customHeight="1">
      <c r="A958" t="inlineStr">
        <is>
          <t>A 5039-2022</t>
        </is>
      </c>
      <c r="B958" s="1" t="n">
        <v>44593</v>
      </c>
      <c r="C958" s="1" t="n">
        <v>45952</v>
      </c>
      <c r="D958" t="inlineStr">
        <is>
          <t>ÖREBRO LÄN</t>
        </is>
      </c>
      <c r="E958" t="inlineStr">
        <is>
          <t>NORA</t>
        </is>
      </c>
      <c r="G958" t="n">
        <v>3.5</v>
      </c>
      <c r="H958" t="n">
        <v>0</v>
      </c>
      <c r="I958" t="n">
        <v>0</v>
      </c>
      <c r="J958" t="n">
        <v>0</v>
      </c>
      <c r="K958" t="n">
        <v>0</v>
      </c>
      <c r="L958" t="n">
        <v>0</v>
      </c>
      <c r="M958" t="n">
        <v>0</v>
      </c>
      <c r="N958" t="n">
        <v>0</v>
      </c>
      <c r="O958" t="n">
        <v>0</v>
      </c>
      <c r="P958" t="n">
        <v>0</v>
      </c>
      <c r="Q958" t="n">
        <v>0</v>
      </c>
      <c r="R958" s="2" t="inlineStr"/>
    </row>
    <row r="959" ht="15" customHeight="1">
      <c r="A959" t="inlineStr">
        <is>
          <t>A 5504-2022</t>
        </is>
      </c>
      <c r="B959" s="1" t="n">
        <v>44595</v>
      </c>
      <c r="C959" s="1" t="n">
        <v>45952</v>
      </c>
      <c r="D959" t="inlineStr">
        <is>
          <t>ÖREBRO LÄN</t>
        </is>
      </c>
      <c r="E959" t="inlineStr">
        <is>
          <t>ASKERSUND</t>
        </is>
      </c>
      <c r="G959" t="n">
        <v>2</v>
      </c>
      <c r="H959" t="n">
        <v>0</v>
      </c>
      <c r="I959" t="n">
        <v>0</v>
      </c>
      <c r="J959" t="n">
        <v>0</v>
      </c>
      <c r="K959" t="n">
        <v>0</v>
      </c>
      <c r="L959" t="n">
        <v>0</v>
      </c>
      <c r="M959" t="n">
        <v>0</v>
      </c>
      <c r="N959" t="n">
        <v>0</v>
      </c>
      <c r="O959" t="n">
        <v>0</v>
      </c>
      <c r="P959" t="n">
        <v>0</v>
      </c>
      <c r="Q959" t="n">
        <v>0</v>
      </c>
      <c r="R959" s="2" t="inlineStr"/>
    </row>
    <row r="960" ht="15" customHeight="1">
      <c r="A960" t="inlineStr">
        <is>
          <t>A 9426-2022</t>
        </is>
      </c>
      <c r="B960" s="1" t="n">
        <v>44616.68016203704</v>
      </c>
      <c r="C960" s="1" t="n">
        <v>45952</v>
      </c>
      <c r="D960" t="inlineStr">
        <is>
          <t>ÖREBRO LÄN</t>
        </is>
      </c>
      <c r="E960" t="inlineStr">
        <is>
          <t>HALLSBERG</t>
        </is>
      </c>
      <c r="G960" t="n">
        <v>2.1</v>
      </c>
      <c r="H960" t="n">
        <v>0</v>
      </c>
      <c r="I960" t="n">
        <v>0</v>
      </c>
      <c r="J960" t="n">
        <v>0</v>
      </c>
      <c r="K960" t="n">
        <v>0</v>
      </c>
      <c r="L960" t="n">
        <v>0</v>
      </c>
      <c r="M960" t="n">
        <v>0</v>
      </c>
      <c r="N960" t="n">
        <v>0</v>
      </c>
      <c r="O960" t="n">
        <v>0</v>
      </c>
      <c r="P960" t="n">
        <v>0</v>
      </c>
      <c r="Q960" t="n">
        <v>0</v>
      </c>
      <c r="R960" s="2" t="inlineStr"/>
    </row>
    <row r="961" ht="15" customHeight="1">
      <c r="A961" t="inlineStr">
        <is>
          <t>A 7859-2022</t>
        </is>
      </c>
      <c r="B961" s="1" t="n">
        <v>44608</v>
      </c>
      <c r="C961" s="1" t="n">
        <v>45952</v>
      </c>
      <c r="D961" t="inlineStr">
        <is>
          <t>ÖREBRO LÄN</t>
        </is>
      </c>
      <c r="E961" t="inlineStr">
        <is>
          <t>LINDESBERG</t>
        </is>
      </c>
      <c r="F961" t="inlineStr">
        <is>
          <t>Kyrkan</t>
        </is>
      </c>
      <c r="G961" t="n">
        <v>0.7</v>
      </c>
      <c r="H961" t="n">
        <v>0</v>
      </c>
      <c r="I961" t="n">
        <v>0</v>
      </c>
      <c r="J961" t="n">
        <v>0</v>
      </c>
      <c r="K961" t="n">
        <v>0</v>
      </c>
      <c r="L961" t="n">
        <v>0</v>
      </c>
      <c r="M961" t="n">
        <v>0</v>
      </c>
      <c r="N961" t="n">
        <v>0</v>
      </c>
      <c r="O961" t="n">
        <v>0</v>
      </c>
      <c r="P961" t="n">
        <v>0</v>
      </c>
      <c r="Q961" t="n">
        <v>0</v>
      </c>
      <c r="R961" s="2" t="inlineStr"/>
    </row>
    <row r="962" ht="15" customHeight="1">
      <c r="A962" t="inlineStr">
        <is>
          <t>A 33609-2022</t>
        </is>
      </c>
      <c r="B962" s="1" t="n">
        <v>44782</v>
      </c>
      <c r="C962" s="1" t="n">
        <v>45952</v>
      </c>
      <c r="D962" t="inlineStr">
        <is>
          <t>ÖREBRO LÄN</t>
        </is>
      </c>
      <c r="E962" t="inlineStr">
        <is>
          <t>HÄLLEFORS</t>
        </is>
      </c>
      <c r="G962" t="n">
        <v>5.7</v>
      </c>
      <c r="H962" t="n">
        <v>0</v>
      </c>
      <c r="I962" t="n">
        <v>0</v>
      </c>
      <c r="J962" t="n">
        <v>0</v>
      </c>
      <c r="K962" t="n">
        <v>0</v>
      </c>
      <c r="L962" t="n">
        <v>0</v>
      </c>
      <c r="M962" t="n">
        <v>0</v>
      </c>
      <c r="N962" t="n">
        <v>0</v>
      </c>
      <c r="O962" t="n">
        <v>0</v>
      </c>
      <c r="P962" t="n">
        <v>0</v>
      </c>
      <c r="Q962" t="n">
        <v>0</v>
      </c>
      <c r="R962" s="2" t="inlineStr"/>
    </row>
    <row r="963" ht="15" customHeight="1">
      <c r="A963" t="inlineStr">
        <is>
          <t>A 46484-2021</t>
        </is>
      </c>
      <c r="B963" s="1" t="n">
        <v>44445.38594907407</v>
      </c>
      <c r="C963" s="1" t="n">
        <v>45952</v>
      </c>
      <c r="D963" t="inlineStr">
        <is>
          <t>ÖREBRO LÄN</t>
        </is>
      </c>
      <c r="E963" t="inlineStr">
        <is>
          <t>LAXÅ</t>
        </is>
      </c>
      <c r="F963" t="inlineStr">
        <is>
          <t>Sveaskog</t>
        </is>
      </c>
      <c r="G963" t="n">
        <v>0.3</v>
      </c>
      <c r="H963" t="n">
        <v>0</v>
      </c>
      <c r="I963" t="n">
        <v>0</v>
      </c>
      <c r="J963" t="n">
        <v>0</v>
      </c>
      <c r="K963" t="n">
        <v>0</v>
      </c>
      <c r="L963" t="n">
        <v>0</v>
      </c>
      <c r="M963" t="n">
        <v>0</v>
      </c>
      <c r="N963" t="n">
        <v>0</v>
      </c>
      <c r="O963" t="n">
        <v>0</v>
      </c>
      <c r="P963" t="n">
        <v>0</v>
      </c>
      <c r="Q963" t="n">
        <v>0</v>
      </c>
      <c r="R963" s="2" t="inlineStr"/>
    </row>
    <row r="964" ht="15" customHeight="1">
      <c r="A964" t="inlineStr">
        <is>
          <t>A 40312-2021</t>
        </is>
      </c>
      <c r="B964" s="1" t="n">
        <v>44419</v>
      </c>
      <c r="C964" s="1" t="n">
        <v>45952</v>
      </c>
      <c r="D964" t="inlineStr">
        <is>
          <t>ÖREBRO LÄN</t>
        </is>
      </c>
      <c r="E964" t="inlineStr">
        <is>
          <t>ÖREBRO</t>
        </is>
      </c>
      <c r="F964" t="inlineStr">
        <is>
          <t>Övriga Aktiebolag</t>
        </is>
      </c>
      <c r="G964" t="n">
        <v>2.6</v>
      </c>
      <c r="H964" t="n">
        <v>0</v>
      </c>
      <c r="I964" t="n">
        <v>0</v>
      </c>
      <c r="J964" t="n">
        <v>0</v>
      </c>
      <c r="K964" t="n">
        <v>0</v>
      </c>
      <c r="L964" t="n">
        <v>0</v>
      </c>
      <c r="M964" t="n">
        <v>0</v>
      </c>
      <c r="N964" t="n">
        <v>0</v>
      </c>
      <c r="O964" t="n">
        <v>0</v>
      </c>
      <c r="P964" t="n">
        <v>0</v>
      </c>
      <c r="Q964" t="n">
        <v>0</v>
      </c>
      <c r="R964" s="2" t="inlineStr"/>
    </row>
    <row r="965" ht="15" customHeight="1">
      <c r="A965" t="inlineStr">
        <is>
          <t>A 5025-2022</t>
        </is>
      </c>
      <c r="B965" s="1" t="n">
        <v>44593</v>
      </c>
      <c r="C965" s="1" t="n">
        <v>45952</v>
      </c>
      <c r="D965" t="inlineStr">
        <is>
          <t>ÖREBRO LÄN</t>
        </is>
      </c>
      <c r="E965" t="inlineStr">
        <is>
          <t>HÄLLEFORS</t>
        </is>
      </c>
      <c r="G965" t="n">
        <v>3.7</v>
      </c>
      <c r="H965" t="n">
        <v>0</v>
      </c>
      <c r="I965" t="n">
        <v>0</v>
      </c>
      <c r="J965" t="n">
        <v>0</v>
      </c>
      <c r="K965" t="n">
        <v>0</v>
      </c>
      <c r="L965" t="n">
        <v>0</v>
      </c>
      <c r="M965" t="n">
        <v>0</v>
      </c>
      <c r="N965" t="n">
        <v>0</v>
      </c>
      <c r="O965" t="n">
        <v>0</v>
      </c>
      <c r="P965" t="n">
        <v>0</v>
      </c>
      <c r="Q965" t="n">
        <v>0</v>
      </c>
      <c r="R965" s="2" t="inlineStr"/>
    </row>
    <row r="966" ht="15" customHeight="1">
      <c r="A966" t="inlineStr">
        <is>
          <t>A 978-2022</t>
        </is>
      </c>
      <c r="B966" s="1" t="n">
        <v>44571</v>
      </c>
      <c r="C966" s="1" t="n">
        <v>45952</v>
      </c>
      <c r="D966" t="inlineStr">
        <is>
          <t>ÖREBRO LÄN</t>
        </is>
      </c>
      <c r="E966" t="inlineStr">
        <is>
          <t>LAXÅ</t>
        </is>
      </c>
      <c r="F966" t="inlineStr">
        <is>
          <t>Sveaskog</t>
        </is>
      </c>
      <c r="G966" t="n">
        <v>0.7</v>
      </c>
      <c r="H966" t="n">
        <v>0</v>
      </c>
      <c r="I966" t="n">
        <v>0</v>
      </c>
      <c r="J966" t="n">
        <v>0</v>
      </c>
      <c r="K966" t="n">
        <v>0</v>
      </c>
      <c r="L966" t="n">
        <v>0</v>
      </c>
      <c r="M966" t="n">
        <v>0</v>
      </c>
      <c r="N966" t="n">
        <v>0</v>
      </c>
      <c r="O966" t="n">
        <v>0</v>
      </c>
      <c r="P966" t="n">
        <v>0</v>
      </c>
      <c r="Q966" t="n">
        <v>0</v>
      </c>
      <c r="R966" s="2" t="inlineStr"/>
    </row>
    <row r="967" ht="15" customHeight="1">
      <c r="A967" t="inlineStr">
        <is>
          <t>A 32231-2022</t>
        </is>
      </c>
      <c r="B967" s="1" t="n">
        <v>44781</v>
      </c>
      <c r="C967" s="1" t="n">
        <v>45952</v>
      </c>
      <c r="D967" t="inlineStr">
        <is>
          <t>ÖREBRO LÄN</t>
        </is>
      </c>
      <c r="E967" t="inlineStr">
        <is>
          <t>ÖREBRO</t>
        </is>
      </c>
      <c r="G967" t="n">
        <v>1</v>
      </c>
      <c r="H967" t="n">
        <v>0</v>
      </c>
      <c r="I967" t="n">
        <v>0</v>
      </c>
      <c r="J967" t="n">
        <v>0</v>
      </c>
      <c r="K967" t="n">
        <v>0</v>
      </c>
      <c r="L967" t="n">
        <v>0</v>
      </c>
      <c r="M967" t="n">
        <v>0</v>
      </c>
      <c r="N967" t="n">
        <v>0</v>
      </c>
      <c r="O967" t="n">
        <v>0</v>
      </c>
      <c r="P967" t="n">
        <v>0</v>
      </c>
      <c r="Q967" t="n">
        <v>0</v>
      </c>
      <c r="R967" s="2" t="inlineStr"/>
    </row>
    <row r="968" ht="15" customHeight="1">
      <c r="A968" t="inlineStr">
        <is>
          <t>A 32247-2022</t>
        </is>
      </c>
      <c r="B968" s="1" t="n">
        <v>44781</v>
      </c>
      <c r="C968" s="1" t="n">
        <v>45952</v>
      </c>
      <c r="D968" t="inlineStr">
        <is>
          <t>ÖREBRO LÄN</t>
        </is>
      </c>
      <c r="E968" t="inlineStr">
        <is>
          <t>ÖREBRO</t>
        </is>
      </c>
      <c r="G968" t="n">
        <v>3</v>
      </c>
      <c r="H968" t="n">
        <v>0</v>
      </c>
      <c r="I968" t="n">
        <v>0</v>
      </c>
      <c r="J968" t="n">
        <v>0</v>
      </c>
      <c r="K968" t="n">
        <v>0</v>
      </c>
      <c r="L968" t="n">
        <v>0</v>
      </c>
      <c r="M968" t="n">
        <v>0</v>
      </c>
      <c r="N968" t="n">
        <v>0</v>
      </c>
      <c r="O968" t="n">
        <v>0</v>
      </c>
      <c r="P968" t="n">
        <v>0</v>
      </c>
      <c r="Q968" t="n">
        <v>0</v>
      </c>
      <c r="R968" s="2" t="inlineStr"/>
    </row>
    <row r="969" ht="15" customHeight="1">
      <c r="A969" t="inlineStr">
        <is>
          <t>A 49135-2021</t>
        </is>
      </c>
      <c r="B969" s="1" t="n">
        <v>44453</v>
      </c>
      <c r="C969" s="1" t="n">
        <v>45952</v>
      </c>
      <c r="D969" t="inlineStr">
        <is>
          <t>ÖREBRO LÄN</t>
        </is>
      </c>
      <c r="E969" t="inlineStr">
        <is>
          <t>NORA</t>
        </is>
      </c>
      <c r="G969" t="n">
        <v>1.9</v>
      </c>
      <c r="H969" t="n">
        <v>0</v>
      </c>
      <c r="I969" t="n">
        <v>0</v>
      </c>
      <c r="J969" t="n">
        <v>0</v>
      </c>
      <c r="K969" t="n">
        <v>0</v>
      </c>
      <c r="L969" t="n">
        <v>0</v>
      </c>
      <c r="M969" t="n">
        <v>0</v>
      </c>
      <c r="N969" t="n">
        <v>0</v>
      </c>
      <c r="O969" t="n">
        <v>0</v>
      </c>
      <c r="P969" t="n">
        <v>0</v>
      </c>
      <c r="Q969" t="n">
        <v>0</v>
      </c>
      <c r="R969" s="2" t="inlineStr"/>
    </row>
    <row r="970" ht="15" customHeight="1">
      <c r="A970" t="inlineStr">
        <is>
          <t>A 15518-2022</t>
        </is>
      </c>
      <c r="B970" s="1" t="n">
        <v>44662</v>
      </c>
      <c r="C970" s="1" t="n">
        <v>45952</v>
      </c>
      <c r="D970" t="inlineStr">
        <is>
          <t>ÖREBRO LÄN</t>
        </is>
      </c>
      <c r="E970" t="inlineStr">
        <is>
          <t>LAXÅ</t>
        </is>
      </c>
      <c r="F970" t="inlineStr">
        <is>
          <t>Sveaskog</t>
        </is>
      </c>
      <c r="G970" t="n">
        <v>0.6</v>
      </c>
      <c r="H970" t="n">
        <v>0</v>
      </c>
      <c r="I970" t="n">
        <v>0</v>
      </c>
      <c r="J970" t="n">
        <v>0</v>
      </c>
      <c r="K970" t="n">
        <v>0</v>
      </c>
      <c r="L970" t="n">
        <v>0</v>
      </c>
      <c r="M970" t="n">
        <v>0</v>
      </c>
      <c r="N970" t="n">
        <v>0</v>
      </c>
      <c r="O970" t="n">
        <v>0</v>
      </c>
      <c r="P970" t="n">
        <v>0</v>
      </c>
      <c r="Q970" t="n">
        <v>0</v>
      </c>
      <c r="R970" s="2" t="inlineStr"/>
    </row>
    <row r="971" ht="15" customHeight="1">
      <c r="A971" t="inlineStr">
        <is>
          <t>A 64938-2020</t>
        </is>
      </c>
      <c r="B971" s="1" t="n">
        <v>44172</v>
      </c>
      <c r="C971" s="1" t="n">
        <v>45952</v>
      </c>
      <c r="D971" t="inlineStr">
        <is>
          <t>ÖREBRO LÄN</t>
        </is>
      </c>
      <c r="E971" t="inlineStr">
        <is>
          <t>ASKERSUND</t>
        </is>
      </c>
      <c r="G971" t="n">
        <v>4.3</v>
      </c>
      <c r="H971" t="n">
        <v>0</v>
      </c>
      <c r="I971" t="n">
        <v>0</v>
      </c>
      <c r="J971" t="n">
        <v>0</v>
      </c>
      <c r="K971" t="n">
        <v>0</v>
      </c>
      <c r="L971" t="n">
        <v>0</v>
      </c>
      <c r="M971" t="n">
        <v>0</v>
      </c>
      <c r="N971" t="n">
        <v>0</v>
      </c>
      <c r="O971" t="n">
        <v>0</v>
      </c>
      <c r="P971" t="n">
        <v>0</v>
      </c>
      <c r="Q971" t="n">
        <v>0</v>
      </c>
      <c r="R971" s="2" t="inlineStr"/>
    </row>
    <row r="972" ht="15" customHeight="1">
      <c r="A972" t="inlineStr">
        <is>
          <t>A 63939-2021</t>
        </is>
      </c>
      <c r="B972" s="1" t="n">
        <v>44509.74381944445</v>
      </c>
      <c r="C972" s="1" t="n">
        <v>45952</v>
      </c>
      <c r="D972" t="inlineStr">
        <is>
          <t>ÖREBRO LÄN</t>
        </is>
      </c>
      <c r="E972" t="inlineStr">
        <is>
          <t>ASKERSUND</t>
        </is>
      </c>
      <c r="F972" t="inlineStr">
        <is>
          <t>Sveaskog</t>
        </is>
      </c>
      <c r="G972" t="n">
        <v>0.7</v>
      </c>
      <c r="H972" t="n">
        <v>0</v>
      </c>
      <c r="I972" t="n">
        <v>0</v>
      </c>
      <c r="J972" t="n">
        <v>0</v>
      </c>
      <c r="K972" t="n">
        <v>0</v>
      </c>
      <c r="L972" t="n">
        <v>0</v>
      </c>
      <c r="M972" t="n">
        <v>0</v>
      </c>
      <c r="N972" t="n">
        <v>0</v>
      </c>
      <c r="O972" t="n">
        <v>0</v>
      </c>
      <c r="P972" t="n">
        <v>0</v>
      </c>
      <c r="Q972" t="n">
        <v>0</v>
      </c>
      <c r="R972" s="2" t="inlineStr"/>
    </row>
    <row r="973" ht="15" customHeight="1">
      <c r="A973" t="inlineStr">
        <is>
          <t>A 43421-2021</t>
        </is>
      </c>
      <c r="B973" s="1" t="n">
        <v>44432.64310185185</v>
      </c>
      <c r="C973" s="1" t="n">
        <v>45952</v>
      </c>
      <c r="D973" t="inlineStr">
        <is>
          <t>ÖREBRO LÄN</t>
        </is>
      </c>
      <c r="E973" t="inlineStr">
        <is>
          <t>ASKERSUND</t>
        </is>
      </c>
      <c r="G973" t="n">
        <v>0.9</v>
      </c>
      <c r="H973" t="n">
        <v>0</v>
      </c>
      <c r="I973" t="n">
        <v>0</v>
      </c>
      <c r="J973" t="n">
        <v>0</v>
      </c>
      <c r="K973" t="n">
        <v>0</v>
      </c>
      <c r="L973" t="n">
        <v>0</v>
      </c>
      <c r="M973" t="n">
        <v>0</v>
      </c>
      <c r="N973" t="n">
        <v>0</v>
      </c>
      <c r="O973" t="n">
        <v>0</v>
      </c>
      <c r="P973" t="n">
        <v>0</v>
      </c>
      <c r="Q973" t="n">
        <v>0</v>
      </c>
      <c r="R973" s="2" t="inlineStr"/>
    </row>
    <row r="974" ht="15" customHeight="1">
      <c r="A974" t="inlineStr">
        <is>
          <t>A 35990-2021</t>
        </is>
      </c>
      <c r="B974" s="1" t="n">
        <v>44389</v>
      </c>
      <c r="C974" s="1" t="n">
        <v>45952</v>
      </c>
      <c r="D974" t="inlineStr">
        <is>
          <t>ÖREBRO LÄN</t>
        </is>
      </c>
      <c r="E974" t="inlineStr">
        <is>
          <t>LINDESBERG</t>
        </is>
      </c>
      <c r="F974" t="inlineStr">
        <is>
          <t>Sveaskog</t>
        </is>
      </c>
      <c r="G974" t="n">
        <v>0.7</v>
      </c>
      <c r="H974" t="n">
        <v>0</v>
      </c>
      <c r="I974" t="n">
        <v>0</v>
      </c>
      <c r="J974" t="n">
        <v>0</v>
      </c>
      <c r="K974" t="n">
        <v>0</v>
      </c>
      <c r="L974" t="n">
        <v>0</v>
      </c>
      <c r="M974" t="n">
        <v>0</v>
      </c>
      <c r="N974" t="n">
        <v>0</v>
      </c>
      <c r="O974" t="n">
        <v>0</v>
      </c>
      <c r="P974" t="n">
        <v>0</v>
      </c>
      <c r="Q974" t="n">
        <v>0</v>
      </c>
      <c r="R974" s="2" t="inlineStr"/>
    </row>
    <row r="975" ht="15" customHeight="1">
      <c r="A975" t="inlineStr">
        <is>
          <t>A 63008-2021</t>
        </is>
      </c>
      <c r="B975" s="1" t="n">
        <v>44505.41567129629</v>
      </c>
      <c r="C975" s="1" t="n">
        <v>45952</v>
      </c>
      <c r="D975" t="inlineStr">
        <is>
          <t>ÖREBRO LÄN</t>
        </is>
      </c>
      <c r="E975" t="inlineStr">
        <is>
          <t>DEGERFORS</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67971-2021</t>
        </is>
      </c>
      <c r="B976" s="1" t="n">
        <v>44525.66660879629</v>
      </c>
      <c r="C976" s="1" t="n">
        <v>45952</v>
      </c>
      <c r="D976" t="inlineStr">
        <is>
          <t>ÖREBRO LÄN</t>
        </is>
      </c>
      <c r="E976" t="inlineStr">
        <is>
          <t>HÄLLEFORS</t>
        </is>
      </c>
      <c r="G976" t="n">
        <v>0.8</v>
      </c>
      <c r="H976" t="n">
        <v>0</v>
      </c>
      <c r="I976" t="n">
        <v>0</v>
      </c>
      <c r="J976" t="n">
        <v>0</v>
      </c>
      <c r="K976" t="n">
        <v>0</v>
      </c>
      <c r="L976" t="n">
        <v>0</v>
      </c>
      <c r="M976" t="n">
        <v>0</v>
      </c>
      <c r="N976" t="n">
        <v>0</v>
      </c>
      <c r="O976" t="n">
        <v>0</v>
      </c>
      <c r="P976" t="n">
        <v>0</v>
      </c>
      <c r="Q976" t="n">
        <v>0</v>
      </c>
      <c r="R976" s="2" t="inlineStr"/>
    </row>
    <row r="977" ht="15" customHeight="1">
      <c r="A977" t="inlineStr">
        <is>
          <t>A 71090-2021</t>
        </is>
      </c>
      <c r="B977" s="1" t="n">
        <v>44539.31923611111</v>
      </c>
      <c r="C977" s="1" t="n">
        <v>45952</v>
      </c>
      <c r="D977" t="inlineStr">
        <is>
          <t>ÖREBRO LÄN</t>
        </is>
      </c>
      <c r="E977" t="inlineStr">
        <is>
          <t>LINDESBERG</t>
        </is>
      </c>
      <c r="G977" t="n">
        <v>4.3</v>
      </c>
      <c r="H977" t="n">
        <v>0</v>
      </c>
      <c r="I977" t="n">
        <v>0</v>
      </c>
      <c r="J977" t="n">
        <v>0</v>
      </c>
      <c r="K977" t="n">
        <v>0</v>
      </c>
      <c r="L977" t="n">
        <v>0</v>
      </c>
      <c r="M977" t="n">
        <v>0</v>
      </c>
      <c r="N977" t="n">
        <v>0</v>
      </c>
      <c r="O977" t="n">
        <v>0</v>
      </c>
      <c r="P977" t="n">
        <v>0</v>
      </c>
      <c r="Q977" t="n">
        <v>0</v>
      </c>
      <c r="R977" s="2" t="inlineStr"/>
    </row>
    <row r="978" ht="15" customHeight="1">
      <c r="A978" t="inlineStr">
        <is>
          <t>A 71092-2021</t>
        </is>
      </c>
      <c r="B978" s="1" t="n">
        <v>44539</v>
      </c>
      <c r="C978" s="1" t="n">
        <v>45952</v>
      </c>
      <c r="D978" t="inlineStr">
        <is>
          <t>ÖREBRO LÄN</t>
        </is>
      </c>
      <c r="E978" t="inlineStr">
        <is>
          <t>LINDESBERG</t>
        </is>
      </c>
      <c r="G978" t="n">
        <v>0.8</v>
      </c>
      <c r="H978" t="n">
        <v>0</v>
      </c>
      <c r="I978" t="n">
        <v>0</v>
      </c>
      <c r="J978" t="n">
        <v>0</v>
      </c>
      <c r="K978" t="n">
        <v>0</v>
      </c>
      <c r="L978" t="n">
        <v>0</v>
      </c>
      <c r="M978" t="n">
        <v>0</v>
      </c>
      <c r="N978" t="n">
        <v>0</v>
      </c>
      <c r="O978" t="n">
        <v>0</v>
      </c>
      <c r="P978" t="n">
        <v>0</v>
      </c>
      <c r="Q978" t="n">
        <v>0</v>
      </c>
      <c r="R978" s="2" t="inlineStr"/>
    </row>
    <row r="979" ht="15" customHeight="1">
      <c r="A979" t="inlineStr">
        <is>
          <t>A 31717-2022</t>
        </is>
      </c>
      <c r="B979" s="1" t="n">
        <v>44776.45553240741</v>
      </c>
      <c r="C979" s="1" t="n">
        <v>45952</v>
      </c>
      <c r="D979" t="inlineStr">
        <is>
          <t>ÖREBRO LÄN</t>
        </is>
      </c>
      <c r="E979" t="inlineStr">
        <is>
          <t>ASKERSUND</t>
        </is>
      </c>
      <c r="F979" t="inlineStr">
        <is>
          <t>Sveaskog</t>
        </is>
      </c>
      <c r="G979" t="n">
        <v>2.7</v>
      </c>
      <c r="H979" t="n">
        <v>0</v>
      </c>
      <c r="I979" t="n">
        <v>0</v>
      </c>
      <c r="J979" t="n">
        <v>0</v>
      </c>
      <c r="K979" t="n">
        <v>0</v>
      </c>
      <c r="L979" t="n">
        <v>0</v>
      </c>
      <c r="M979" t="n">
        <v>0</v>
      </c>
      <c r="N979" t="n">
        <v>0</v>
      </c>
      <c r="O979" t="n">
        <v>0</v>
      </c>
      <c r="P979" t="n">
        <v>0</v>
      </c>
      <c r="Q979" t="n">
        <v>0</v>
      </c>
      <c r="R979" s="2" t="inlineStr"/>
    </row>
    <row r="980" ht="15" customHeight="1">
      <c r="A980" t="inlineStr">
        <is>
          <t>A 70160-2021</t>
        </is>
      </c>
      <c r="B980" s="1" t="n">
        <v>44533.69733796296</v>
      </c>
      <c r="C980" s="1" t="n">
        <v>45952</v>
      </c>
      <c r="D980" t="inlineStr">
        <is>
          <t>ÖREBRO LÄN</t>
        </is>
      </c>
      <c r="E980" t="inlineStr">
        <is>
          <t>HALLSBERG</t>
        </is>
      </c>
      <c r="F980" t="inlineStr">
        <is>
          <t>Allmännings- och besparingsskogar</t>
        </is>
      </c>
      <c r="G980" t="n">
        <v>14.7</v>
      </c>
      <c r="H980" t="n">
        <v>0</v>
      </c>
      <c r="I980" t="n">
        <v>0</v>
      </c>
      <c r="J980" t="n">
        <v>0</v>
      </c>
      <c r="K980" t="n">
        <v>0</v>
      </c>
      <c r="L980" t="n">
        <v>0</v>
      </c>
      <c r="M980" t="n">
        <v>0</v>
      </c>
      <c r="N980" t="n">
        <v>0</v>
      </c>
      <c r="O980" t="n">
        <v>0</v>
      </c>
      <c r="P980" t="n">
        <v>0</v>
      </c>
      <c r="Q980" t="n">
        <v>0</v>
      </c>
      <c r="R980" s="2" t="inlineStr"/>
    </row>
    <row r="981" ht="15" customHeight="1">
      <c r="A981" t="inlineStr">
        <is>
          <t>A 60961-2021</t>
        </is>
      </c>
      <c r="B981" s="1" t="n">
        <v>44497</v>
      </c>
      <c r="C981" s="1" t="n">
        <v>45952</v>
      </c>
      <c r="D981" t="inlineStr">
        <is>
          <t>ÖREBRO LÄN</t>
        </is>
      </c>
      <c r="E981" t="inlineStr">
        <is>
          <t>ASKERSUND</t>
        </is>
      </c>
      <c r="G981" t="n">
        <v>0.2</v>
      </c>
      <c r="H981" t="n">
        <v>0</v>
      </c>
      <c r="I981" t="n">
        <v>0</v>
      </c>
      <c r="J981" t="n">
        <v>0</v>
      </c>
      <c r="K981" t="n">
        <v>0</v>
      </c>
      <c r="L981" t="n">
        <v>0</v>
      </c>
      <c r="M981" t="n">
        <v>0</v>
      </c>
      <c r="N981" t="n">
        <v>0</v>
      </c>
      <c r="O981" t="n">
        <v>0</v>
      </c>
      <c r="P981" t="n">
        <v>0</v>
      </c>
      <c r="Q981" t="n">
        <v>0</v>
      </c>
      <c r="R981" s="2" t="inlineStr"/>
    </row>
    <row r="982" ht="15" customHeight="1">
      <c r="A982" t="inlineStr">
        <is>
          <t>A 9362-2022</t>
        </is>
      </c>
      <c r="B982" s="1" t="n">
        <v>44616.59946759259</v>
      </c>
      <c r="C982" s="1" t="n">
        <v>45952</v>
      </c>
      <c r="D982" t="inlineStr">
        <is>
          <t>ÖREBRO LÄN</t>
        </is>
      </c>
      <c r="E982" t="inlineStr">
        <is>
          <t>ÖREBRO</t>
        </is>
      </c>
      <c r="G982" t="n">
        <v>1.3</v>
      </c>
      <c r="H982" t="n">
        <v>0</v>
      </c>
      <c r="I982" t="n">
        <v>0</v>
      </c>
      <c r="J982" t="n">
        <v>0</v>
      </c>
      <c r="K982" t="n">
        <v>0</v>
      </c>
      <c r="L982" t="n">
        <v>0</v>
      </c>
      <c r="M982" t="n">
        <v>0</v>
      </c>
      <c r="N982" t="n">
        <v>0</v>
      </c>
      <c r="O982" t="n">
        <v>0</v>
      </c>
      <c r="P982" t="n">
        <v>0</v>
      </c>
      <c r="Q982" t="n">
        <v>0</v>
      </c>
      <c r="R982" s="2" t="inlineStr"/>
    </row>
    <row r="983" ht="15" customHeight="1">
      <c r="A983" t="inlineStr">
        <is>
          <t>A 57906-2021</t>
        </is>
      </c>
      <c r="B983" s="1" t="n">
        <v>44486</v>
      </c>
      <c r="C983" s="1" t="n">
        <v>45952</v>
      </c>
      <c r="D983" t="inlineStr">
        <is>
          <t>ÖREBRO LÄN</t>
        </is>
      </c>
      <c r="E983" t="inlineStr">
        <is>
          <t>ASKERSUND</t>
        </is>
      </c>
      <c r="G983" t="n">
        <v>1.6</v>
      </c>
      <c r="H983" t="n">
        <v>0</v>
      </c>
      <c r="I983" t="n">
        <v>0</v>
      </c>
      <c r="J983" t="n">
        <v>0</v>
      </c>
      <c r="K983" t="n">
        <v>0</v>
      </c>
      <c r="L983" t="n">
        <v>0</v>
      </c>
      <c r="M983" t="n">
        <v>0</v>
      </c>
      <c r="N983" t="n">
        <v>0</v>
      </c>
      <c r="O983" t="n">
        <v>0</v>
      </c>
      <c r="P983" t="n">
        <v>0</v>
      </c>
      <c r="Q983" t="n">
        <v>0</v>
      </c>
      <c r="R983" s="2" t="inlineStr"/>
    </row>
    <row r="984" ht="15" customHeight="1">
      <c r="A984" t="inlineStr">
        <is>
          <t>A 59006-2021</t>
        </is>
      </c>
      <c r="B984" s="1" t="n">
        <v>44490</v>
      </c>
      <c r="C984" s="1" t="n">
        <v>45952</v>
      </c>
      <c r="D984" t="inlineStr">
        <is>
          <t>ÖREBRO LÄN</t>
        </is>
      </c>
      <c r="E984" t="inlineStr">
        <is>
          <t>LINDESBERG</t>
        </is>
      </c>
      <c r="G984" t="n">
        <v>5.6</v>
      </c>
      <c r="H984" t="n">
        <v>0</v>
      </c>
      <c r="I984" t="n">
        <v>0</v>
      </c>
      <c r="J984" t="n">
        <v>0</v>
      </c>
      <c r="K984" t="n">
        <v>0</v>
      </c>
      <c r="L984" t="n">
        <v>0</v>
      </c>
      <c r="M984" t="n">
        <v>0</v>
      </c>
      <c r="N984" t="n">
        <v>0</v>
      </c>
      <c r="O984" t="n">
        <v>0</v>
      </c>
      <c r="P984" t="n">
        <v>0</v>
      </c>
      <c r="Q984" t="n">
        <v>0</v>
      </c>
      <c r="R984" s="2" t="inlineStr"/>
    </row>
    <row r="985" ht="15" customHeight="1">
      <c r="A985" t="inlineStr">
        <is>
          <t>A 42495-2022</t>
        </is>
      </c>
      <c r="B985" s="1" t="n">
        <v>44831</v>
      </c>
      <c r="C985" s="1" t="n">
        <v>45952</v>
      </c>
      <c r="D985" t="inlineStr">
        <is>
          <t>ÖREBRO LÄN</t>
        </is>
      </c>
      <c r="E985" t="inlineStr">
        <is>
          <t>ASKERSUND</t>
        </is>
      </c>
      <c r="G985" t="n">
        <v>0.8</v>
      </c>
      <c r="H985" t="n">
        <v>0</v>
      </c>
      <c r="I985" t="n">
        <v>0</v>
      </c>
      <c r="J985" t="n">
        <v>0</v>
      </c>
      <c r="K985" t="n">
        <v>0</v>
      </c>
      <c r="L985" t="n">
        <v>0</v>
      </c>
      <c r="M985" t="n">
        <v>0</v>
      </c>
      <c r="N985" t="n">
        <v>0</v>
      </c>
      <c r="O985" t="n">
        <v>0</v>
      </c>
      <c r="P985" t="n">
        <v>0</v>
      </c>
      <c r="Q985" t="n">
        <v>0</v>
      </c>
      <c r="R985" s="2" t="inlineStr"/>
    </row>
    <row r="986" ht="15" customHeight="1">
      <c r="A986" t="inlineStr">
        <is>
          <t>A 25963-2022</t>
        </is>
      </c>
      <c r="B986" s="1" t="n">
        <v>44734</v>
      </c>
      <c r="C986" s="1" t="n">
        <v>45952</v>
      </c>
      <c r="D986" t="inlineStr">
        <is>
          <t>ÖREBRO LÄN</t>
        </is>
      </c>
      <c r="E986" t="inlineStr">
        <is>
          <t>ASKERSUND</t>
        </is>
      </c>
      <c r="G986" t="n">
        <v>0.7</v>
      </c>
      <c r="H986" t="n">
        <v>0</v>
      </c>
      <c r="I986" t="n">
        <v>0</v>
      </c>
      <c r="J986" t="n">
        <v>0</v>
      </c>
      <c r="K986" t="n">
        <v>0</v>
      </c>
      <c r="L986" t="n">
        <v>0</v>
      </c>
      <c r="M986" t="n">
        <v>0</v>
      </c>
      <c r="N986" t="n">
        <v>0</v>
      </c>
      <c r="O986" t="n">
        <v>0</v>
      </c>
      <c r="P986" t="n">
        <v>0</v>
      </c>
      <c r="Q986" t="n">
        <v>0</v>
      </c>
      <c r="R986" s="2" t="inlineStr"/>
    </row>
    <row r="987" ht="15" customHeight="1">
      <c r="A987" t="inlineStr">
        <is>
          <t>A 12478-2022</t>
        </is>
      </c>
      <c r="B987" s="1" t="n">
        <v>44638</v>
      </c>
      <c r="C987" s="1" t="n">
        <v>45952</v>
      </c>
      <c r="D987" t="inlineStr">
        <is>
          <t>ÖREBRO LÄN</t>
        </is>
      </c>
      <c r="E987" t="inlineStr">
        <is>
          <t>ÖREBRO</t>
        </is>
      </c>
      <c r="F987" t="inlineStr">
        <is>
          <t>Kyrkan</t>
        </is>
      </c>
      <c r="G987" t="n">
        <v>1.4</v>
      </c>
      <c r="H987" t="n">
        <v>0</v>
      </c>
      <c r="I987" t="n">
        <v>0</v>
      </c>
      <c r="J987" t="n">
        <v>0</v>
      </c>
      <c r="K987" t="n">
        <v>0</v>
      </c>
      <c r="L987" t="n">
        <v>0</v>
      </c>
      <c r="M987" t="n">
        <v>0</v>
      </c>
      <c r="N987" t="n">
        <v>0</v>
      </c>
      <c r="O987" t="n">
        <v>0</v>
      </c>
      <c r="P987" t="n">
        <v>0</v>
      </c>
      <c r="Q987" t="n">
        <v>0</v>
      </c>
      <c r="R987" s="2" t="inlineStr"/>
    </row>
    <row r="988" ht="15" customHeight="1">
      <c r="A988" t="inlineStr">
        <is>
          <t>A 2372-2022</t>
        </is>
      </c>
      <c r="B988" s="1" t="n">
        <v>44579.33436342593</v>
      </c>
      <c r="C988" s="1" t="n">
        <v>45952</v>
      </c>
      <c r="D988" t="inlineStr">
        <is>
          <t>ÖREBRO LÄN</t>
        </is>
      </c>
      <c r="E988" t="inlineStr">
        <is>
          <t>LAXÅ</t>
        </is>
      </c>
      <c r="G988" t="n">
        <v>0.5</v>
      </c>
      <c r="H988" t="n">
        <v>0</v>
      </c>
      <c r="I988" t="n">
        <v>0</v>
      </c>
      <c r="J988" t="n">
        <v>0</v>
      </c>
      <c r="K988" t="n">
        <v>0</v>
      </c>
      <c r="L988" t="n">
        <v>0</v>
      </c>
      <c r="M988" t="n">
        <v>0</v>
      </c>
      <c r="N988" t="n">
        <v>0</v>
      </c>
      <c r="O988" t="n">
        <v>0</v>
      </c>
      <c r="P988" t="n">
        <v>0</v>
      </c>
      <c r="Q988" t="n">
        <v>0</v>
      </c>
      <c r="R988" s="2" t="inlineStr"/>
    </row>
    <row r="989" ht="15" customHeight="1">
      <c r="A989" t="inlineStr">
        <is>
          <t>A 20238-2022</t>
        </is>
      </c>
      <c r="B989" s="1" t="n">
        <v>44698.62354166667</v>
      </c>
      <c r="C989" s="1" t="n">
        <v>45952</v>
      </c>
      <c r="D989" t="inlineStr">
        <is>
          <t>ÖREBRO LÄN</t>
        </is>
      </c>
      <c r="E989" t="inlineStr">
        <is>
          <t>LINDESBERG</t>
        </is>
      </c>
      <c r="F989" t="inlineStr">
        <is>
          <t>Naturvårdsverket</t>
        </is>
      </c>
      <c r="G989" t="n">
        <v>2.9</v>
      </c>
      <c r="H989" t="n">
        <v>0</v>
      </c>
      <c r="I989" t="n">
        <v>0</v>
      </c>
      <c r="J989" t="n">
        <v>0</v>
      </c>
      <c r="K989" t="n">
        <v>0</v>
      </c>
      <c r="L989" t="n">
        <v>0</v>
      </c>
      <c r="M989" t="n">
        <v>0</v>
      </c>
      <c r="N989" t="n">
        <v>0</v>
      </c>
      <c r="O989" t="n">
        <v>0</v>
      </c>
      <c r="P989" t="n">
        <v>0</v>
      </c>
      <c r="Q989" t="n">
        <v>0</v>
      </c>
      <c r="R989" s="2" t="inlineStr"/>
    </row>
    <row r="990" ht="15" customHeight="1">
      <c r="A990" t="inlineStr">
        <is>
          <t>A 15502-2022</t>
        </is>
      </c>
      <c r="B990" s="1" t="n">
        <v>44662.38864583334</v>
      </c>
      <c r="C990" s="1" t="n">
        <v>45952</v>
      </c>
      <c r="D990" t="inlineStr">
        <is>
          <t>ÖREBRO LÄN</t>
        </is>
      </c>
      <c r="E990" t="inlineStr">
        <is>
          <t>LAXÅ</t>
        </is>
      </c>
      <c r="F990" t="inlineStr">
        <is>
          <t>Sveaskog</t>
        </is>
      </c>
      <c r="G990" t="n">
        <v>1.2</v>
      </c>
      <c r="H990" t="n">
        <v>0</v>
      </c>
      <c r="I990" t="n">
        <v>0</v>
      </c>
      <c r="J990" t="n">
        <v>0</v>
      </c>
      <c r="K990" t="n">
        <v>0</v>
      </c>
      <c r="L990" t="n">
        <v>0</v>
      </c>
      <c r="M990" t="n">
        <v>0</v>
      </c>
      <c r="N990" t="n">
        <v>0</v>
      </c>
      <c r="O990" t="n">
        <v>0</v>
      </c>
      <c r="P990" t="n">
        <v>0</v>
      </c>
      <c r="Q990" t="n">
        <v>0</v>
      </c>
      <c r="R990" s="2" t="inlineStr"/>
    </row>
    <row r="991" ht="15" customHeight="1">
      <c r="A991" t="inlineStr">
        <is>
          <t>A 52222-2021</t>
        </is>
      </c>
      <c r="B991" s="1" t="n">
        <v>44463.58862268519</v>
      </c>
      <c r="C991" s="1" t="n">
        <v>45952</v>
      </c>
      <c r="D991" t="inlineStr">
        <is>
          <t>ÖREBRO LÄN</t>
        </is>
      </c>
      <c r="E991" t="inlineStr">
        <is>
          <t>ASKERSUND</t>
        </is>
      </c>
      <c r="F991" t="inlineStr">
        <is>
          <t>Sveaskog</t>
        </is>
      </c>
      <c r="G991" t="n">
        <v>0.7</v>
      </c>
      <c r="H991" t="n">
        <v>0</v>
      </c>
      <c r="I991" t="n">
        <v>0</v>
      </c>
      <c r="J991" t="n">
        <v>0</v>
      </c>
      <c r="K991" t="n">
        <v>0</v>
      </c>
      <c r="L991" t="n">
        <v>0</v>
      </c>
      <c r="M991" t="n">
        <v>0</v>
      </c>
      <c r="N991" t="n">
        <v>0</v>
      </c>
      <c r="O991" t="n">
        <v>0</v>
      </c>
      <c r="P991" t="n">
        <v>0</v>
      </c>
      <c r="Q991" t="n">
        <v>0</v>
      </c>
      <c r="R991" s="2" t="inlineStr"/>
    </row>
    <row r="992" ht="15" customHeight="1">
      <c r="A992" t="inlineStr">
        <is>
          <t>A 52938-2021</t>
        </is>
      </c>
      <c r="B992" s="1" t="n">
        <v>44467.58364583334</v>
      </c>
      <c r="C992" s="1" t="n">
        <v>45952</v>
      </c>
      <c r="D992" t="inlineStr">
        <is>
          <t>ÖREBRO LÄN</t>
        </is>
      </c>
      <c r="E992" t="inlineStr">
        <is>
          <t>ASKERSUND</t>
        </is>
      </c>
      <c r="G992" t="n">
        <v>0.4</v>
      </c>
      <c r="H992" t="n">
        <v>0</v>
      </c>
      <c r="I992" t="n">
        <v>0</v>
      </c>
      <c r="J992" t="n">
        <v>0</v>
      </c>
      <c r="K992" t="n">
        <v>0</v>
      </c>
      <c r="L992" t="n">
        <v>0</v>
      </c>
      <c r="M992" t="n">
        <v>0</v>
      </c>
      <c r="N992" t="n">
        <v>0</v>
      </c>
      <c r="O992" t="n">
        <v>0</v>
      </c>
      <c r="P992" t="n">
        <v>0</v>
      </c>
      <c r="Q992" t="n">
        <v>0</v>
      </c>
      <c r="R992" s="2" t="inlineStr"/>
    </row>
    <row r="993" ht="15" customHeight="1">
      <c r="A993" t="inlineStr">
        <is>
          <t>A 32907-2022</t>
        </is>
      </c>
      <c r="B993" s="1" t="n">
        <v>44784</v>
      </c>
      <c r="C993" s="1" t="n">
        <v>45952</v>
      </c>
      <c r="D993" t="inlineStr">
        <is>
          <t>ÖREBRO LÄN</t>
        </is>
      </c>
      <c r="E993" t="inlineStr">
        <is>
          <t>LINDESBERG</t>
        </is>
      </c>
      <c r="G993" t="n">
        <v>0.5</v>
      </c>
      <c r="H993" t="n">
        <v>0</v>
      </c>
      <c r="I993" t="n">
        <v>0</v>
      </c>
      <c r="J993" t="n">
        <v>0</v>
      </c>
      <c r="K993" t="n">
        <v>0</v>
      </c>
      <c r="L993" t="n">
        <v>0</v>
      </c>
      <c r="M993" t="n">
        <v>0</v>
      </c>
      <c r="N993" t="n">
        <v>0</v>
      </c>
      <c r="O993" t="n">
        <v>0</v>
      </c>
      <c r="P993" t="n">
        <v>0</v>
      </c>
      <c r="Q993" t="n">
        <v>0</v>
      </c>
      <c r="R993" s="2" t="inlineStr"/>
    </row>
    <row r="994" ht="15" customHeight="1">
      <c r="A994" t="inlineStr">
        <is>
          <t>A 67508-2021</t>
        </is>
      </c>
      <c r="B994" s="1" t="n">
        <v>44524</v>
      </c>
      <c r="C994" s="1" t="n">
        <v>45952</v>
      </c>
      <c r="D994" t="inlineStr">
        <is>
          <t>ÖREBRO LÄN</t>
        </is>
      </c>
      <c r="E994" t="inlineStr">
        <is>
          <t>LEKEBERG</t>
        </is>
      </c>
      <c r="G994" t="n">
        <v>1.3</v>
      </c>
      <c r="H994" t="n">
        <v>0</v>
      </c>
      <c r="I994" t="n">
        <v>0</v>
      </c>
      <c r="J994" t="n">
        <v>0</v>
      </c>
      <c r="K994" t="n">
        <v>0</v>
      </c>
      <c r="L994" t="n">
        <v>0</v>
      </c>
      <c r="M994" t="n">
        <v>0</v>
      </c>
      <c r="N994" t="n">
        <v>0</v>
      </c>
      <c r="O994" t="n">
        <v>0</v>
      </c>
      <c r="P994" t="n">
        <v>0</v>
      </c>
      <c r="Q994" t="n">
        <v>0</v>
      </c>
      <c r="R994" s="2" t="inlineStr"/>
    </row>
    <row r="995" ht="15" customHeight="1">
      <c r="A995" t="inlineStr">
        <is>
          <t>A 32818-2022</t>
        </is>
      </c>
      <c r="B995" s="1" t="n">
        <v>44784.38697916667</v>
      </c>
      <c r="C995" s="1" t="n">
        <v>45952</v>
      </c>
      <c r="D995" t="inlineStr">
        <is>
          <t>ÖREBRO LÄN</t>
        </is>
      </c>
      <c r="E995" t="inlineStr">
        <is>
          <t>LINDESBERG</t>
        </is>
      </c>
      <c r="G995" t="n">
        <v>1.5</v>
      </c>
      <c r="H995" t="n">
        <v>0</v>
      </c>
      <c r="I995" t="n">
        <v>0</v>
      </c>
      <c r="J995" t="n">
        <v>0</v>
      </c>
      <c r="K995" t="n">
        <v>0</v>
      </c>
      <c r="L995" t="n">
        <v>0</v>
      </c>
      <c r="M995" t="n">
        <v>0</v>
      </c>
      <c r="N995" t="n">
        <v>0</v>
      </c>
      <c r="O995" t="n">
        <v>0</v>
      </c>
      <c r="P995" t="n">
        <v>0</v>
      </c>
      <c r="Q995" t="n">
        <v>0</v>
      </c>
      <c r="R995" s="2" t="inlineStr"/>
    </row>
    <row r="996" ht="15" customHeight="1">
      <c r="A996" t="inlineStr">
        <is>
          <t>A 26314-2022</t>
        </is>
      </c>
      <c r="B996" s="1" t="n">
        <v>44735.59861111111</v>
      </c>
      <c r="C996" s="1" t="n">
        <v>45952</v>
      </c>
      <c r="D996" t="inlineStr">
        <is>
          <t>ÖREBRO LÄN</t>
        </is>
      </c>
      <c r="E996" t="inlineStr">
        <is>
          <t>NORA</t>
        </is>
      </c>
      <c r="F996" t="inlineStr">
        <is>
          <t>Sveaskog</t>
        </is>
      </c>
      <c r="G996" t="n">
        <v>0.7</v>
      </c>
      <c r="H996" t="n">
        <v>0</v>
      </c>
      <c r="I996" t="n">
        <v>0</v>
      </c>
      <c r="J996" t="n">
        <v>0</v>
      </c>
      <c r="K996" t="n">
        <v>0</v>
      </c>
      <c r="L996" t="n">
        <v>0</v>
      </c>
      <c r="M996" t="n">
        <v>0</v>
      </c>
      <c r="N996" t="n">
        <v>0</v>
      </c>
      <c r="O996" t="n">
        <v>0</v>
      </c>
      <c r="P996" t="n">
        <v>0</v>
      </c>
      <c r="Q996" t="n">
        <v>0</v>
      </c>
      <c r="R996" s="2" t="inlineStr"/>
    </row>
    <row r="997" ht="15" customHeight="1">
      <c r="A997" t="inlineStr">
        <is>
          <t>A 18080-2021</t>
        </is>
      </c>
      <c r="B997" s="1" t="n">
        <v>44302</v>
      </c>
      <c r="C997" s="1" t="n">
        <v>45952</v>
      </c>
      <c r="D997" t="inlineStr">
        <is>
          <t>ÖREBRO LÄN</t>
        </is>
      </c>
      <c r="E997" t="inlineStr">
        <is>
          <t>LJUSNARSBERG</t>
        </is>
      </c>
      <c r="G997" t="n">
        <v>3.1</v>
      </c>
      <c r="H997" t="n">
        <v>0</v>
      </c>
      <c r="I997" t="n">
        <v>0</v>
      </c>
      <c r="J997" t="n">
        <v>0</v>
      </c>
      <c r="K997" t="n">
        <v>0</v>
      </c>
      <c r="L997" t="n">
        <v>0</v>
      </c>
      <c r="M997" t="n">
        <v>0</v>
      </c>
      <c r="N997" t="n">
        <v>0</v>
      </c>
      <c r="O997" t="n">
        <v>0</v>
      </c>
      <c r="P997" t="n">
        <v>0</v>
      </c>
      <c r="Q997" t="n">
        <v>0</v>
      </c>
      <c r="R997" s="2" t="inlineStr"/>
    </row>
    <row r="998" ht="15" customHeight="1">
      <c r="A998" t="inlineStr">
        <is>
          <t>A 30144-2022</t>
        </is>
      </c>
      <c r="B998" s="1" t="n">
        <v>44757.48751157407</v>
      </c>
      <c r="C998" s="1" t="n">
        <v>45952</v>
      </c>
      <c r="D998" t="inlineStr">
        <is>
          <t>ÖREBRO LÄN</t>
        </is>
      </c>
      <c r="E998" t="inlineStr">
        <is>
          <t>HALLSBERG</t>
        </is>
      </c>
      <c r="F998" t="inlineStr">
        <is>
          <t>Sveaskog</t>
        </is>
      </c>
      <c r="G998" t="n">
        <v>4.6</v>
      </c>
      <c r="H998" t="n">
        <v>0</v>
      </c>
      <c r="I998" t="n">
        <v>0</v>
      </c>
      <c r="J998" t="n">
        <v>0</v>
      </c>
      <c r="K998" t="n">
        <v>0</v>
      </c>
      <c r="L998" t="n">
        <v>0</v>
      </c>
      <c r="M998" t="n">
        <v>0</v>
      </c>
      <c r="N998" t="n">
        <v>0</v>
      </c>
      <c r="O998" t="n">
        <v>0</v>
      </c>
      <c r="P998" t="n">
        <v>0</v>
      </c>
      <c r="Q998" t="n">
        <v>0</v>
      </c>
      <c r="R998" s="2" t="inlineStr"/>
    </row>
    <row r="999" ht="15" customHeight="1">
      <c r="A999" t="inlineStr">
        <is>
          <t>A 5401-2022</t>
        </is>
      </c>
      <c r="B999" s="1" t="n">
        <v>44595</v>
      </c>
      <c r="C999" s="1" t="n">
        <v>45952</v>
      </c>
      <c r="D999" t="inlineStr">
        <is>
          <t>ÖREBRO LÄN</t>
        </is>
      </c>
      <c r="E999" t="inlineStr">
        <is>
          <t>ÖREBRO</t>
        </is>
      </c>
      <c r="G999" t="n">
        <v>2.3</v>
      </c>
      <c r="H999" t="n">
        <v>0</v>
      </c>
      <c r="I999" t="n">
        <v>0</v>
      </c>
      <c r="J999" t="n">
        <v>0</v>
      </c>
      <c r="K999" t="n">
        <v>0</v>
      </c>
      <c r="L999" t="n">
        <v>0</v>
      </c>
      <c r="M999" t="n">
        <v>0</v>
      </c>
      <c r="N999" t="n">
        <v>0</v>
      </c>
      <c r="O999" t="n">
        <v>0</v>
      </c>
      <c r="P999" t="n">
        <v>0</v>
      </c>
      <c r="Q999" t="n">
        <v>0</v>
      </c>
      <c r="R999" s="2" t="inlineStr"/>
    </row>
    <row r="1000" ht="15" customHeight="1">
      <c r="A1000" t="inlineStr">
        <is>
          <t>A 62832-2021</t>
        </is>
      </c>
      <c r="B1000" s="1" t="n">
        <v>44503</v>
      </c>
      <c r="C1000" s="1" t="n">
        <v>45952</v>
      </c>
      <c r="D1000" t="inlineStr">
        <is>
          <t>ÖREBRO LÄN</t>
        </is>
      </c>
      <c r="E1000" t="inlineStr">
        <is>
          <t>ASKERSUND</t>
        </is>
      </c>
      <c r="G1000" t="n">
        <v>4.4</v>
      </c>
      <c r="H1000" t="n">
        <v>0</v>
      </c>
      <c r="I1000" t="n">
        <v>0</v>
      </c>
      <c r="J1000" t="n">
        <v>0</v>
      </c>
      <c r="K1000" t="n">
        <v>0</v>
      </c>
      <c r="L1000" t="n">
        <v>0</v>
      </c>
      <c r="M1000" t="n">
        <v>0</v>
      </c>
      <c r="N1000" t="n">
        <v>0</v>
      </c>
      <c r="O1000" t="n">
        <v>0</v>
      </c>
      <c r="P1000" t="n">
        <v>0</v>
      </c>
      <c r="Q1000" t="n">
        <v>0</v>
      </c>
      <c r="R1000" s="2" t="inlineStr"/>
    </row>
    <row r="1001" ht="15" customHeight="1">
      <c r="A1001" t="inlineStr">
        <is>
          <t>A 45105-2022</t>
        </is>
      </c>
      <c r="B1001" s="1" t="n">
        <v>44843</v>
      </c>
      <c r="C1001" s="1" t="n">
        <v>45952</v>
      </c>
      <c r="D1001" t="inlineStr">
        <is>
          <t>ÖREBRO LÄN</t>
        </is>
      </c>
      <c r="E1001" t="inlineStr">
        <is>
          <t>LEKEBERG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16261-2022</t>
        </is>
      </c>
      <c r="B1002" s="1" t="n">
        <v>44670</v>
      </c>
      <c r="C1002" s="1" t="n">
        <v>45952</v>
      </c>
      <c r="D1002" t="inlineStr">
        <is>
          <t>ÖREBRO LÄN</t>
        </is>
      </c>
      <c r="E1002" t="inlineStr">
        <is>
          <t>ÖREBRO</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39027-2022</t>
        </is>
      </c>
      <c r="B1003" s="1" t="n">
        <v>44817</v>
      </c>
      <c r="C1003" s="1" t="n">
        <v>45952</v>
      </c>
      <c r="D1003" t="inlineStr">
        <is>
          <t>ÖREBRO LÄN</t>
        </is>
      </c>
      <c r="E1003" t="inlineStr">
        <is>
          <t>KARLSKOGA</t>
        </is>
      </c>
      <c r="F1003" t="inlineStr">
        <is>
          <t>Sveaskog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60311-2020</t>
        </is>
      </c>
      <c r="B1004" s="1" t="n">
        <v>44151</v>
      </c>
      <c r="C1004" s="1" t="n">
        <v>45952</v>
      </c>
      <c r="D1004" t="inlineStr">
        <is>
          <t>ÖREBRO LÄN</t>
        </is>
      </c>
      <c r="E1004" t="inlineStr">
        <is>
          <t>ÖREBRO</t>
        </is>
      </c>
      <c r="F1004" t="inlineStr">
        <is>
          <t>Kommuner</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29062-2022</t>
        </is>
      </c>
      <c r="B1005" s="1" t="n">
        <v>44750</v>
      </c>
      <c r="C1005" s="1" t="n">
        <v>45952</v>
      </c>
      <c r="D1005" t="inlineStr">
        <is>
          <t>ÖREBRO LÄN</t>
        </is>
      </c>
      <c r="E1005" t="inlineStr">
        <is>
          <t>HÄLLEFORS</t>
        </is>
      </c>
      <c r="F1005" t="inlineStr">
        <is>
          <t>Bergvik skog väst AB</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68977-2021</t>
        </is>
      </c>
      <c r="B1006" s="1" t="n">
        <v>44530.56172453704</v>
      </c>
      <c r="C1006" s="1" t="n">
        <v>45952</v>
      </c>
      <c r="D1006" t="inlineStr">
        <is>
          <t>ÖREBRO LÄN</t>
        </is>
      </c>
      <c r="E1006" t="inlineStr">
        <is>
          <t>ASKERSUND</t>
        </is>
      </c>
      <c r="F1006" t="inlineStr">
        <is>
          <t>Sveaskog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63247-2021</t>
        </is>
      </c>
      <c r="B1007" s="1" t="n">
        <v>44505</v>
      </c>
      <c r="C1007" s="1" t="n">
        <v>45952</v>
      </c>
      <c r="D1007" t="inlineStr">
        <is>
          <t>ÖREBRO LÄN</t>
        </is>
      </c>
      <c r="E1007" t="inlineStr">
        <is>
          <t>ÖREBRO</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41979-2022</t>
        </is>
      </c>
      <c r="B1008" s="1" t="n">
        <v>44830</v>
      </c>
      <c r="C1008" s="1" t="n">
        <v>45952</v>
      </c>
      <c r="D1008" t="inlineStr">
        <is>
          <t>ÖREBRO LÄN</t>
        </is>
      </c>
      <c r="E1008" t="inlineStr">
        <is>
          <t>LEKEBERG</t>
        </is>
      </c>
      <c r="F1008" t="inlineStr">
        <is>
          <t>Sveaskog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41553-2022</t>
        </is>
      </c>
      <c r="B1009" s="1" t="n">
        <v>44827.3940625</v>
      </c>
      <c r="C1009" s="1" t="n">
        <v>45952</v>
      </c>
      <c r="D1009" t="inlineStr">
        <is>
          <t>ÖREBRO LÄN</t>
        </is>
      </c>
      <c r="E1009" t="inlineStr">
        <is>
          <t>ÖREBRO</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14562-2022</t>
        </is>
      </c>
      <c r="B1010" s="1" t="n">
        <v>44655</v>
      </c>
      <c r="C1010" s="1" t="n">
        <v>45952</v>
      </c>
      <c r="D1010" t="inlineStr">
        <is>
          <t>ÖREBRO LÄN</t>
        </is>
      </c>
      <c r="E1010" t="inlineStr">
        <is>
          <t>ÖREBRO</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44165-2022</t>
        </is>
      </c>
      <c r="B1011" s="1" t="n">
        <v>44839</v>
      </c>
      <c r="C1011" s="1" t="n">
        <v>45952</v>
      </c>
      <c r="D1011" t="inlineStr">
        <is>
          <t>ÖREBRO LÄN</t>
        </is>
      </c>
      <c r="E1011" t="inlineStr">
        <is>
          <t>ÖREBRO</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32864-2022</t>
        </is>
      </c>
      <c r="B1012" s="1" t="n">
        <v>44784</v>
      </c>
      <c r="C1012" s="1" t="n">
        <v>45952</v>
      </c>
      <c r="D1012" t="inlineStr">
        <is>
          <t>ÖREBRO LÄN</t>
        </is>
      </c>
      <c r="E1012" t="inlineStr">
        <is>
          <t>KUMLA</t>
        </is>
      </c>
      <c r="G1012" t="n">
        <v>4.5</v>
      </c>
      <c r="H1012" t="n">
        <v>0</v>
      </c>
      <c r="I1012" t="n">
        <v>0</v>
      </c>
      <c r="J1012" t="n">
        <v>0</v>
      </c>
      <c r="K1012" t="n">
        <v>0</v>
      </c>
      <c r="L1012" t="n">
        <v>0</v>
      </c>
      <c r="M1012" t="n">
        <v>0</v>
      </c>
      <c r="N1012" t="n">
        <v>0</v>
      </c>
      <c r="O1012" t="n">
        <v>0</v>
      </c>
      <c r="P1012" t="n">
        <v>0</v>
      </c>
      <c r="Q1012" t="n">
        <v>0</v>
      </c>
      <c r="R1012" s="2" t="inlineStr"/>
    </row>
    <row r="1013" ht="15" customHeight="1">
      <c r="A1013" t="inlineStr">
        <is>
          <t>A 12292-2022</t>
        </is>
      </c>
      <c r="B1013" s="1" t="n">
        <v>44637</v>
      </c>
      <c r="C1013" s="1" t="n">
        <v>45952</v>
      </c>
      <c r="D1013" t="inlineStr">
        <is>
          <t>ÖREBRO LÄN</t>
        </is>
      </c>
      <c r="E1013" t="inlineStr">
        <is>
          <t>ASKERSUND</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25858-2022</t>
        </is>
      </c>
      <c r="B1014" s="1" t="n">
        <v>44733.62664351852</v>
      </c>
      <c r="C1014" s="1" t="n">
        <v>45952</v>
      </c>
      <c r="D1014" t="inlineStr">
        <is>
          <t>ÖREBRO LÄN</t>
        </is>
      </c>
      <c r="E1014" t="inlineStr">
        <is>
          <t>ASKERSUND</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3915-2021</t>
        </is>
      </c>
      <c r="B1015" s="1" t="n">
        <v>44222</v>
      </c>
      <c r="C1015" s="1" t="n">
        <v>45952</v>
      </c>
      <c r="D1015" t="inlineStr">
        <is>
          <t>ÖREBRO LÄN</t>
        </is>
      </c>
      <c r="E1015" t="inlineStr">
        <is>
          <t>KUMLA</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55867-2021</t>
        </is>
      </c>
      <c r="B1016" s="1" t="n">
        <v>44476</v>
      </c>
      <c r="C1016" s="1" t="n">
        <v>45952</v>
      </c>
      <c r="D1016" t="inlineStr">
        <is>
          <t>ÖREBRO LÄN</t>
        </is>
      </c>
      <c r="E1016" t="inlineStr">
        <is>
          <t>NORA</t>
        </is>
      </c>
      <c r="F1016" t="inlineStr">
        <is>
          <t>Kyrkan</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64778-2021</t>
        </is>
      </c>
      <c r="B1017" s="1" t="n">
        <v>44512</v>
      </c>
      <c r="C1017" s="1" t="n">
        <v>45952</v>
      </c>
      <c r="D1017" t="inlineStr">
        <is>
          <t>ÖREBRO LÄN</t>
        </is>
      </c>
      <c r="E1017" t="inlineStr">
        <is>
          <t>ASKERSUND</t>
        </is>
      </c>
      <c r="F1017" t="inlineStr">
        <is>
          <t>Sveaskog</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41249-2021</t>
        </is>
      </c>
      <c r="B1018" s="1" t="n">
        <v>44424</v>
      </c>
      <c r="C1018" s="1" t="n">
        <v>45952</v>
      </c>
      <c r="D1018" t="inlineStr">
        <is>
          <t>ÖREBRO LÄN</t>
        </is>
      </c>
      <c r="E1018" t="inlineStr">
        <is>
          <t>ASKERSUND</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23330-2022</t>
        </is>
      </c>
      <c r="B1019" s="1" t="n">
        <v>44720</v>
      </c>
      <c r="C1019" s="1" t="n">
        <v>45952</v>
      </c>
      <c r="D1019" t="inlineStr">
        <is>
          <t>ÖREBRO LÄN</t>
        </is>
      </c>
      <c r="E1019" t="inlineStr">
        <is>
          <t>HALLSBERG</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2406-2024</t>
        </is>
      </c>
      <c r="B1020" s="1" t="n">
        <v>45310</v>
      </c>
      <c r="C1020" s="1" t="n">
        <v>45952</v>
      </c>
      <c r="D1020" t="inlineStr">
        <is>
          <t>ÖREBRO LÄN</t>
        </is>
      </c>
      <c r="E1020" t="inlineStr">
        <is>
          <t>LINDESBERG</t>
        </is>
      </c>
      <c r="G1020" t="n">
        <v>16.1</v>
      </c>
      <c r="H1020" t="n">
        <v>0</v>
      </c>
      <c r="I1020" t="n">
        <v>0</v>
      </c>
      <c r="J1020" t="n">
        <v>0</v>
      </c>
      <c r="K1020" t="n">
        <v>0</v>
      </c>
      <c r="L1020" t="n">
        <v>0</v>
      </c>
      <c r="M1020" t="n">
        <v>0</v>
      </c>
      <c r="N1020" t="n">
        <v>0</v>
      </c>
      <c r="O1020" t="n">
        <v>0</v>
      </c>
      <c r="P1020" t="n">
        <v>0</v>
      </c>
      <c r="Q1020" t="n">
        <v>0</v>
      </c>
      <c r="R1020" s="2" t="inlineStr"/>
    </row>
    <row r="1021" ht="15" customHeight="1">
      <c r="A1021" t="inlineStr">
        <is>
          <t>A 13417-2025</t>
        </is>
      </c>
      <c r="B1021" s="1" t="n">
        <v>45736.30940972222</v>
      </c>
      <c r="C1021" s="1" t="n">
        <v>45952</v>
      </c>
      <c r="D1021" t="inlineStr">
        <is>
          <t>ÖREBRO LÄN</t>
        </is>
      </c>
      <c r="E1021" t="inlineStr">
        <is>
          <t>LINDESBERG</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28863-2021</t>
        </is>
      </c>
      <c r="B1022" s="1" t="n">
        <v>44357.69152777778</v>
      </c>
      <c r="C1022" s="1" t="n">
        <v>45952</v>
      </c>
      <c r="D1022" t="inlineStr">
        <is>
          <t>ÖREBRO LÄN</t>
        </is>
      </c>
      <c r="E1022" t="inlineStr">
        <is>
          <t>LAXÅ</t>
        </is>
      </c>
      <c r="F1022" t="inlineStr">
        <is>
          <t>Sveaskog</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12465-2022</t>
        </is>
      </c>
      <c r="B1023" s="1" t="n">
        <v>44638</v>
      </c>
      <c r="C1023" s="1" t="n">
        <v>45952</v>
      </c>
      <c r="D1023" t="inlineStr">
        <is>
          <t>ÖREBRO LÄN</t>
        </is>
      </c>
      <c r="E1023" t="inlineStr">
        <is>
          <t>ASKERSUND</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23863-2023</t>
        </is>
      </c>
      <c r="B1024" s="1" t="n">
        <v>45078.48994212963</v>
      </c>
      <c r="C1024" s="1" t="n">
        <v>45952</v>
      </c>
      <c r="D1024" t="inlineStr">
        <is>
          <t>ÖREBRO LÄN</t>
        </is>
      </c>
      <c r="E1024" t="inlineStr">
        <is>
          <t>ÖREBRO</t>
        </is>
      </c>
      <c r="F1024" t="inlineStr">
        <is>
          <t>Övriga Aktiebolag</t>
        </is>
      </c>
      <c r="G1024" t="n">
        <v>5.9</v>
      </c>
      <c r="H1024" t="n">
        <v>0</v>
      </c>
      <c r="I1024" t="n">
        <v>0</v>
      </c>
      <c r="J1024" t="n">
        <v>0</v>
      </c>
      <c r="K1024" t="n">
        <v>0</v>
      </c>
      <c r="L1024" t="n">
        <v>0</v>
      </c>
      <c r="M1024" t="n">
        <v>0</v>
      </c>
      <c r="N1024" t="n">
        <v>0</v>
      </c>
      <c r="O1024" t="n">
        <v>0</v>
      </c>
      <c r="P1024" t="n">
        <v>0</v>
      </c>
      <c r="Q1024" t="n">
        <v>0</v>
      </c>
      <c r="R1024" s="2" t="inlineStr"/>
    </row>
    <row r="1025" ht="15" customHeight="1">
      <c r="A1025" t="inlineStr">
        <is>
          <t>A 24637-2021</t>
        </is>
      </c>
      <c r="B1025" s="1" t="n">
        <v>44340</v>
      </c>
      <c r="C1025" s="1" t="n">
        <v>45952</v>
      </c>
      <c r="D1025" t="inlineStr">
        <is>
          <t>ÖREBRO LÄN</t>
        </is>
      </c>
      <c r="E1025" t="inlineStr">
        <is>
          <t>KARLSKOGA</t>
        </is>
      </c>
      <c r="F1025" t="inlineStr">
        <is>
          <t>Sveaskog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51205-2021</t>
        </is>
      </c>
      <c r="B1026" s="1" t="n">
        <v>44461.49383101852</v>
      </c>
      <c r="C1026" s="1" t="n">
        <v>45952</v>
      </c>
      <c r="D1026" t="inlineStr">
        <is>
          <t>ÖREBRO LÄN</t>
        </is>
      </c>
      <c r="E1026" t="inlineStr">
        <is>
          <t>ASKERSUND</t>
        </is>
      </c>
      <c r="F1026" t="inlineStr">
        <is>
          <t>Sveaskog</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67780-2021</t>
        </is>
      </c>
      <c r="B1027" s="1" t="n">
        <v>44525</v>
      </c>
      <c r="C1027" s="1" t="n">
        <v>45952</v>
      </c>
      <c r="D1027" t="inlineStr">
        <is>
          <t>ÖREBRO LÄN</t>
        </is>
      </c>
      <c r="E1027" t="inlineStr">
        <is>
          <t>HÄLLEFORS</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36348-2022</t>
        </is>
      </c>
      <c r="B1028" s="1" t="n">
        <v>44803</v>
      </c>
      <c r="C1028" s="1" t="n">
        <v>45952</v>
      </c>
      <c r="D1028" t="inlineStr">
        <is>
          <t>ÖREBRO LÄN</t>
        </is>
      </c>
      <c r="E1028" t="inlineStr">
        <is>
          <t>LAXÅ</t>
        </is>
      </c>
      <c r="F1028" t="inlineStr">
        <is>
          <t>Sveaskog</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48869-2022</t>
        </is>
      </c>
      <c r="B1029" s="1" t="n">
        <v>44859.72824074074</v>
      </c>
      <c r="C1029" s="1" t="n">
        <v>45952</v>
      </c>
      <c r="D1029" t="inlineStr">
        <is>
          <t>ÖREBRO LÄN</t>
        </is>
      </c>
      <c r="E1029" t="inlineStr">
        <is>
          <t>ASKERSUND</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61570-2021</t>
        </is>
      </c>
      <c r="B1030" s="1" t="n">
        <v>44501.44331018518</v>
      </c>
      <c r="C1030" s="1" t="n">
        <v>45952</v>
      </c>
      <c r="D1030" t="inlineStr">
        <is>
          <t>ÖREBRO LÄN</t>
        </is>
      </c>
      <c r="E1030" t="inlineStr">
        <is>
          <t>ASKERSUND</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37582-2022</t>
        </is>
      </c>
      <c r="B1031" s="1" t="n">
        <v>44809.80543981482</v>
      </c>
      <c r="C1031" s="1" t="n">
        <v>45952</v>
      </c>
      <c r="D1031" t="inlineStr">
        <is>
          <t>ÖREBRO LÄN</t>
        </is>
      </c>
      <c r="E1031" t="inlineStr">
        <is>
          <t>KARLSKOGA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14053-2025</t>
        </is>
      </c>
      <c r="B1032" s="1" t="n">
        <v>45739</v>
      </c>
      <c r="C1032" s="1" t="n">
        <v>45952</v>
      </c>
      <c r="D1032" t="inlineStr">
        <is>
          <t>ÖREBRO LÄN</t>
        </is>
      </c>
      <c r="E1032" t="inlineStr">
        <is>
          <t>ÖREBRO</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2991-2023</t>
        </is>
      </c>
      <c r="B1033" s="1" t="n">
        <v>44945.72797453704</v>
      </c>
      <c r="C1033" s="1" t="n">
        <v>45952</v>
      </c>
      <c r="D1033" t="inlineStr">
        <is>
          <t>ÖREBRO LÄN</t>
        </is>
      </c>
      <c r="E1033" t="inlineStr">
        <is>
          <t>ASKERSUND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16919-2024</t>
        </is>
      </c>
      <c r="B1034" s="1" t="n">
        <v>45411.65641203704</v>
      </c>
      <c r="C1034" s="1" t="n">
        <v>45952</v>
      </c>
      <c r="D1034" t="inlineStr">
        <is>
          <t>ÖREBRO LÄN</t>
        </is>
      </c>
      <c r="E1034" t="inlineStr">
        <is>
          <t>LINDESBERG</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58390-2024</t>
        </is>
      </c>
      <c r="B1035" s="1" t="n">
        <v>45633.6719212963</v>
      </c>
      <c r="C1035" s="1" t="n">
        <v>45952</v>
      </c>
      <c r="D1035" t="inlineStr">
        <is>
          <t>ÖREBRO LÄN</t>
        </is>
      </c>
      <c r="E1035" t="inlineStr">
        <is>
          <t>KARLSKOGA</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6294-2024</t>
        </is>
      </c>
      <c r="B1036" s="1" t="n">
        <v>45338.32368055556</v>
      </c>
      <c r="C1036" s="1" t="n">
        <v>45952</v>
      </c>
      <c r="D1036" t="inlineStr">
        <is>
          <t>ÖREBRO LÄN</t>
        </is>
      </c>
      <c r="E1036" t="inlineStr">
        <is>
          <t>LAXÅ</t>
        </is>
      </c>
      <c r="G1036" t="n">
        <v>0.3</v>
      </c>
      <c r="H1036" t="n">
        <v>0</v>
      </c>
      <c r="I1036" t="n">
        <v>0</v>
      </c>
      <c r="J1036" t="n">
        <v>0</v>
      </c>
      <c r="K1036" t="n">
        <v>0</v>
      </c>
      <c r="L1036" t="n">
        <v>0</v>
      </c>
      <c r="M1036" t="n">
        <v>0</v>
      </c>
      <c r="N1036" t="n">
        <v>0</v>
      </c>
      <c r="O1036" t="n">
        <v>0</v>
      </c>
      <c r="P1036" t="n">
        <v>0</v>
      </c>
      <c r="Q1036" t="n">
        <v>0</v>
      </c>
      <c r="R1036" s="2" t="inlineStr"/>
    </row>
    <row r="1037" ht="15" customHeight="1">
      <c r="A1037" t="inlineStr">
        <is>
          <t>A 4587-2025</t>
        </is>
      </c>
      <c r="B1037" s="1" t="n">
        <v>45687.51668981482</v>
      </c>
      <c r="C1037" s="1" t="n">
        <v>45952</v>
      </c>
      <c r="D1037" t="inlineStr">
        <is>
          <t>ÖREBRO LÄN</t>
        </is>
      </c>
      <c r="E1037" t="inlineStr">
        <is>
          <t>KARLSKOGA</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6366-2024</t>
        </is>
      </c>
      <c r="B1038" s="1" t="n">
        <v>45338</v>
      </c>
      <c r="C1038" s="1" t="n">
        <v>45952</v>
      </c>
      <c r="D1038" t="inlineStr">
        <is>
          <t>ÖREBRO LÄN</t>
        </is>
      </c>
      <c r="E1038" t="inlineStr">
        <is>
          <t>HALLSBERG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14621-2024</t>
        </is>
      </c>
      <c r="B1039" s="1" t="n">
        <v>45397.31064814814</v>
      </c>
      <c r="C1039" s="1" t="n">
        <v>45952</v>
      </c>
      <c r="D1039" t="inlineStr">
        <is>
          <t>ÖREBRO LÄN</t>
        </is>
      </c>
      <c r="E1039" t="inlineStr">
        <is>
          <t>HALLSBERG</t>
        </is>
      </c>
      <c r="F1039" t="inlineStr">
        <is>
          <t>Sveaskog</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33282-2024</t>
        </is>
      </c>
      <c r="B1040" s="1" t="n">
        <v>45518.71482638889</v>
      </c>
      <c r="C1040" s="1" t="n">
        <v>45952</v>
      </c>
      <c r="D1040" t="inlineStr">
        <is>
          <t>ÖREBRO LÄN</t>
        </is>
      </c>
      <c r="E1040" t="inlineStr">
        <is>
          <t>LINDESBERG</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7544-2024</t>
        </is>
      </c>
      <c r="B1041" s="1" t="n">
        <v>45348</v>
      </c>
      <c r="C1041" s="1" t="n">
        <v>45952</v>
      </c>
      <c r="D1041" t="inlineStr">
        <is>
          <t>ÖREBRO LÄN</t>
        </is>
      </c>
      <c r="E1041" t="inlineStr">
        <is>
          <t>ASKERSUND</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68491-2021</t>
        </is>
      </c>
      <c r="B1042" s="1" t="n">
        <v>44526</v>
      </c>
      <c r="C1042" s="1" t="n">
        <v>45952</v>
      </c>
      <c r="D1042" t="inlineStr">
        <is>
          <t>ÖREBRO LÄN</t>
        </is>
      </c>
      <c r="E1042" t="inlineStr">
        <is>
          <t>LINDESBERG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14679-2025</t>
        </is>
      </c>
      <c r="B1043" s="1" t="n">
        <v>45742.56643518519</v>
      </c>
      <c r="C1043" s="1" t="n">
        <v>45952</v>
      </c>
      <c r="D1043" t="inlineStr">
        <is>
          <t>ÖREBRO LÄN</t>
        </is>
      </c>
      <c r="E1043" t="inlineStr">
        <is>
          <t>DEGERFORS</t>
        </is>
      </c>
      <c r="F1043" t="inlineStr">
        <is>
          <t>Sveaskog</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62592-2021</t>
        </is>
      </c>
      <c r="B1044" s="1" t="n">
        <v>44503</v>
      </c>
      <c r="C1044" s="1" t="n">
        <v>45952</v>
      </c>
      <c r="D1044" t="inlineStr">
        <is>
          <t>ÖREBRO LÄN</t>
        </is>
      </c>
      <c r="E1044" t="inlineStr">
        <is>
          <t>NORA</t>
        </is>
      </c>
      <c r="G1044" t="n">
        <v>7.4</v>
      </c>
      <c r="H1044" t="n">
        <v>0</v>
      </c>
      <c r="I1044" t="n">
        <v>0</v>
      </c>
      <c r="J1044" t="n">
        <v>0</v>
      </c>
      <c r="K1044" t="n">
        <v>0</v>
      </c>
      <c r="L1044" t="n">
        <v>0</v>
      </c>
      <c r="M1044" t="n">
        <v>0</v>
      </c>
      <c r="N1044" t="n">
        <v>0</v>
      </c>
      <c r="O1044" t="n">
        <v>0</v>
      </c>
      <c r="P1044" t="n">
        <v>0</v>
      </c>
      <c r="Q1044" t="n">
        <v>0</v>
      </c>
      <c r="R1044" s="2" t="inlineStr"/>
    </row>
    <row r="1045" ht="15" customHeight="1">
      <c r="A1045" t="inlineStr">
        <is>
          <t>A 10799-2024</t>
        </is>
      </c>
      <c r="B1045" s="1" t="n">
        <v>45369</v>
      </c>
      <c r="C1045" s="1" t="n">
        <v>45952</v>
      </c>
      <c r="D1045" t="inlineStr">
        <is>
          <t>ÖREBRO LÄN</t>
        </is>
      </c>
      <c r="E1045" t="inlineStr">
        <is>
          <t>ÖREBRO</t>
        </is>
      </c>
      <c r="G1045" t="n">
        <v>5.8</v>
      </c>
      <c r="H1045" t="n">
        <v>0</v>
      </c>
      <c r="I1045" t="n">
        <v>0</v>
      </c>
      <c r="J1045" t="n">
        <v>0</v>
      </c>
      <c r="K1045" t="n">
        <v>0</v>
      </c>
      <c r="L1045" t="n">
        <v>0</v>
      </c>
      <c r="M1045" t="n">
        <v>0</v>
      </c>
      <c r="N1045" t="n">
        <v>0</v>
      </c>
      <c r="O1045" t="n">
        <v>0</v>
      </c>
      <c r="P1045" t="n">
        <v>0</v>
      </c>
      <c r="Q1045" t="n">
        <v>0</v>
      </c>
      <c r="R1045" s="2" t="inlineStr"/>
    </row>
    <row r="1046" ht="15" customHeight="1">
      <c r="A1046" t="inlineStr">
        <is>
          <t>A 14153-2021</t>
        </is>
      </c>
      <c r="B1046" s="1" t="n">
        <v>44278</v>
      </c>
      <c r="C1046" s="1" t="n">
        <v>45952</v>
      </c>
      <c r="D1046" t="inlineStr">
        <is>
          <t>ÖREBRO LÄN</t>
        </is>
      </c>
      <c r="E1046" t="inlineStr">
        <is>
          <t>LJUSNARSBERG</t>
        </is>
      </c>
      <c r="G1046" t="n">
        <v>4.4</v>
      </c>
      <c r="H1046" t="n">
        <v>0</v>
      </c>
      <c r="I1046" t="n">
        <v>0</v>
      </c>
      <c r="J1046" t="n">
        <v>0</v>
      </c>
      <c r="K1046" t="n">
        <v>0</v>
      </c>
      <c r="L1046" t="n">
        <v>0</v>
      </c>
      <c r="M1046" t="n">
        <v>0</v>
      </c>
      <c r="N1046" t="n">
        <v>0</v>
      </c>
      <c r="O1046" t="n">
        <v>0</v>
      </c>
      <c r="P1046" t="n">
        <v>0</v>
      </c>
      <c r="Q1046" t="n">
        <v>0</v>
      </c>
      <c r="R1046" s="2" t="inlineStr"/>
    </row>
    <row r="1047" ht="15" customHeight="1">
      <c r="A1047" t="inlineStr">
        <is>
          <t>A 23158-2021</t>
        </is>
      </c>
      <c r="B1047" s="1" t="n">
        <v>44332.74105324074</v>
      </c>
      <c r="C1047" s="1" t="n">
        <v>45952</v>
      </c>
      <c r="D1047" t="inlineStr">
        <is>
          <t>ÖREBRO LÄN</t>
        </is>
      </c>
      <c r="E1047" t="inlineStr">
        <is>
          <t>LINDESBERG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46757-2021</t>
        </is>
      </c>
      <c r="B1048" s="1" t="n">
        <v>44445</v>
      </c>
      <c r="C1048" s="1" t="n">
        <v>45952</v>
      </c>
      <c r="D1048" t="inlineStr">
        <is>
          <t>ÖREBRO LÄN</t>
        </is>
      </c>
      <c r="E1048" t="inlineStr">
        <is>
          <t>ÖREBRO</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37584-2022</t>
        </is>
      </c>
      <c r="B1049" s="1" t="n">
        <v>44809.81278935185</v>
      </c>
      <c r="C1049" s="1" t="n">
        <v>45952</v>
      </c>
      <c r="D1049" t="inlineStr">
        <is>
          <t>ÖREBRO LÄN</t>
        </is>
      </c>
      <c r="E1049" t="inlineStr">
        <is>
          <t>KARLSKOGA</t>
        </is>
      </c>
      <c r="G1049" t="n">
        <v>4.9</v>
      </c>
      <c r="H1049" t="n">
        <v>0</v>
      </c>
      <c r="I1049" t="n">
        <v>0</v>
      </c>
      <c r="J1049" t="n">
        <v>0</v>
      </c>
      <c r="K1049" t="n">
        <v>0</v>
      </c>
      <c r="L1049" t="n">
        <v>0</v>
      </c>
      <c r="M1049" t="n">
        <v>0</v>
      </c>
      <c r="N1049" t="n">
        <v>0</v>
      </c>
      <c r="O1049" t="n">
        <v>0</v>
      </c>
      <c r="P1049" t="n">
        <v>0</v>
      </c>
      <c r="Q1049" t="n">
        <v>0</v>
      </c>
      <c r="R1049" s="2" t="inlineStr"/>
    </row>
    <row r="1050" ht="15" customHeight="1">
      <c r="A1050" t="inlineStr">
        <is>
          <t>A 22665-2022</t>
        </is>
      </c>
      <c r="B1050" s="1" t="n">
        <v>44714</v>
      </c>
      <c r="C1050" s="1" t="n">
        <v>45952</v>
      </c>
      <c r="D1050" t="inlineStr">
        <is>
          <t>ÖREBRO LÄN</t>
        </is>
      </c>
      <c r="E1050" t="inlineStr">
        <is>
          <t>ASKERSUND</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33863-2021</t>
        </is>
      </c>
      <c r="B1051" s="1" t="n">
        <v>44378.62489583333</v>
      </c>
      <c r="C1051" s="1" t="n">
        <v>45952</v>
      </c>
      <c r="D1051" t="inlineStr">
        <is>
          <t>ÖREBRO LÄN</t>
        </is>
      </c>
      <c r="E1051" t="inlineStr">
        <is>
          <t>LAXÅ</t>
        </is>
      </c>
      <c r="F1051" t="inlineStr">
        <is>
          <t>Sveaskog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34585-2022</t>
        </is>
      </c>
      <c r="B1052" s="1" t="n">
        <v>44795.3625925926</v>
      </c>
      <c r="C1052" s="1" t="n">
        <v>45952</v>
      </c>
      <c r="D1052" t="inlineStr">
        <is>
          <t>ÖREBRO LÄN</t>
        </is>
      </c>
      <c r="E1052" t="inlineStr">
        <is>
          <t>LAXÅ</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9609-2023</t>
        </is>
      </c>
      <c r="B1053" s="1" t="n">
        <v>44983.93344907407</v>
      </c>
      <c r="C1053" s="1" t="n">
        <v>45952</v>
      </c>
      <c r="D1053" t="inlineStr">
        <is>
          <t>ÖREBRO LÄN</t>
        </is>
      </c>
      <c r="E1053" t="inlineStr">
        <is>
          <t>ÖREBRO</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57351-2020</t>
        </is>
      </c>
      <c r="B1054" s="1" t="n">
        <v>44139</v>
      </c>
      <c r="C1054" s="1" t="n">
        <v>45952</v>
      </c>
      <c r="D1054" t="inlineStr">
        <is>
          <t>ÖREBRO LÄN</t>
        </is>
      </c>
      <c r="E1054" t="inlineStr">
        <is>
          <t>ASKERSUND</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57358-2020</t>
        </is>
      </c>
      <c r="B1055" s="1" t="n">
        <v>44139</v>
      </c>
      <c r="C1055" s="1" t="n">
        <v>45952</v>
      </c>
      <c r="D1055" t="inlineStr">
        <is>
          <t>ÖREBRO LÄN</t>
        </is>
      </c>
      <c r="E1055" t="inlineStr">
        <is>
          <t>LAXÅ</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19458-2022</t>
        </is>
      </c>
      <c r="B1056" s="1" t="n">
        <v>44693</v>
      </c>
      <c r="C1056" s="1" t="n">
        <v>45952</v>
      </c>
      <c r="D1056" t="inlineStr">
        <is>
          <t>ÖREBRO LÄN</t>
        </is>
      </c>
      <c r="E1056" t="inlineStr">
        <is>
          <t>ÖREBRO</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57359-2020</t>
        </is>
      </c>
      <c r="B1057" s="1" t="n">
        <v>44139</v>
      </c>
      <c r="C1057" s="1" t="n">
        <v>45952</v>
      </c>
      <c r="D1057" t="inlineStr">
        <is>
          <t>ÖREBRO LÄN</t>
        </is>
      </c>
      <c r="E1057" t="inlineStr">
        <is>
          <t>LAXÅ</t>
        </is>
      </c>
      <c r="G1057" t="n">
        <v>0.1</v>
      </c>
      <c r="H1057" t="n">
        <v>0</v>
      </c>
      <c r="I1057" t="n">
        <v>0</v>
      </c>
      <c r="J1057" t="n">
        <v>0</v>
      </c>
      <c r="K1057" t="n">
        <v>0</v>
      </c>
      <c r="L1057" t="n">
        <v>0</v>
      </c>
      <c r="M1057" t="n">
        <v>0</v>
      </c>
      <c r="N1057" t="n">
        <v>0</v>
      </c>
      <c r="O1057" t="n">
        <v>0</v>
      </c>
      <c r="P1057" t="n">
        <v>0</v>
      </c>
      <c r="Q1057" t="n">
        <v>0</v>
      </c>
      <c r="R1057" s="2" t="inlineStr"/>
    </row>
    <row r="1058" ht="15" customHeight="1">
      <c r="A1058" t="inlineStr">
        <is>
          <t>A 54139-2021</t>
        </is>
      </c>
      <c r="B1058" s="1" t="n">
        <v>44470</v>
      </c>
      <c r="C1058" s="1" t="n">
        <v>45952</v>
      </c>
      <c r="D1058" t="inlineStr">
        <is>
          <t>ÖREBRO LÄN</t>
        </is>
      </c>
      <c r="E1058" t="inlineStr">
        <is>
          <t>DEGERFORS</t>
        </is>
      </c>
      <c r="F1058" t="inlineStr">
        <is>
          <t>Sveaskog</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20565-2025</t>
        </is>
      </c>
      <c r="B1059" s="1" t="n">
        <v>45775.66307870371</v>
      </c>
      <c r="C1059" s="1" t="n">
        <v>45952</v>
      </c>
      <c r="D1059" t="inlineStr">
        <is>
          <t>ÖREBRO LÄN</t>
        </is>
      </c>
      <c r="E1059" t="inlineStr">
        <is>
          <t>NORA</t>
        </is>
      </c>
      <c r="F1059" t="inlineStr">
        <is>
          <t>Sveaskog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58215-2020</t>
        </is>
      </c>
      <c r="B1060" s="1" t="n">
        <v>44144</v>
      </c>
      <c r="C1060" s="1" t="n">
        <v>45952</v>
      </c>
      <c r="D1060" t="inlineStr">
        <is>
          <t>ÖREBRO LÄN</t>
        </is>
      </c>
      <c r="E1060" t="inlineStr">
        <is>
          <t>HALLSBERG</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36221-2021</t>
        </is>
      </c>
      <c r="B1061" s="1" t="n">
        <v>44389</v>
      </c>
      <c r="C1061" s="1" t="n">
        <v>45952</v>
      </c>
      <c r="D1061" t="inlineStr">
        <is>
          <t>ÖREBRO LÄN</t>
        </is>
      </c>
      <c r="E1061" t="inlineStr">
        <is>
          <t>LINDESBERG</t>
        </is>
      </c>
      <c r="G1061" t="n">
        <v>5.9</v>
      </c>
      <c r="H1061" t="n">
        <v>0</v>
      </c>
      <c r="I1061" t="n">
        <v>0</v>
      </c>
      <c r="J1061" t="n">
        <v>0</v>
      </c>
      <c r="K1061" t="n">
        <v>0</v>
      </c>
      <c r="L1061" t="n">
        <v>0</v>
      </c>
      <c r="M1061" t="n">
        <v>0</v>
      </c>
      <c r="N1061" t="n">
        <v>0</v>
      </c>
      <c r="O1061" t="n">
        <v>0</v>
      </c>
      <c r="P1061" t="n">
        <v>0</v>
      </c>
      <c r="Q1061" t="n">
        <v>0</v>
      </c>
      <c r="R1061" s="2" t="inlineStr"/>
    </row>
    <row r="1062" ht="15" customHeight="1">
      <c r="A1062" t="inlineStr">
        <is>
          <t>A 38012-2022</t>
        </is>
      </c>
      <c r="B1062" s="1" t="n">
        <v>44811</v>
      </c>
      <c r="C1062" s="1" t="n">
        <v>45952</v>
      </c>
      <c r="D1062" t="inlineStr">
        <is>
          <t>ÖREBRO LÄN</t>
        </is>
      </c>
      <c r="E1062" t="inlineStr">
        <is>
          <t>KARLSKOGA</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64929-2020</t>
        </is>
      </c>
      <c r="B1063" s="1" t="n">
        <v>44172</v>
      </c>
      <c r="C1063" s="1" t="n">
        <v>45952</v>
      </c>
      <c r="D1063" t="inlineStr">
        <is>
          <t>ÖREBRO LÄN</t>
        </is>
      </c>
      <c r="E1063" t="inlineStr">
        <is>
          <t>ASKERSUND</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8050-2022</t>
        </is>
      </c>
      <c r="B1064" s="1" t="n">
        <v>44609.46233796296</v>
      </c>
      <c r="C1064" s="1" t="n">
        <v>45952</v>
      </c>
      <c r="D1064" t="inlineStr">
        <is>
          <t>ÖREBRO LÄN</t>
        </is>
      </c>
      <c r="E1064" t="inlineStr">
        <is>
          <t>LEKEBERG</t>
        </is>
      </c>
      <c r="G1064" t="n">
        <v>3.3</v>
      </c>
      <c r="H1064" t="n">
        <v>0</v>
      </c>
      <c r="I1064" t="n">
        <v>0</v>
      </c>
      <c r="J1064" t="n">
        <v>0</v>
      </c>
      <c r="K1064" t="n">
        <v>0</v>
      </c>
      <c r="L1064" t="n">
        <v>0</v>
      </c>
      <c r="M1064" t="n">
        <v>0</v>
      </c>
      <c r="N1064" t="n">
        <v>0</v>
      </c>
      <c r="O1064" t="n">
        <v>0</v>
      </c>
      <c r="P1064" t="n">
        <v>0</v>
      </c>
      <c r="Q1064" t="n">
        <v>0</v>
      </c>
      <c r="R1064" s="2" t="inlineStr"/>
    </row>
    <row r="1065" ht="15" customHeight="1">
      <c r="A1065" t="inlineStr">
        <is>
          <t>A 39869-2023</t>
        </is>
      </c>
      <c r="B1065" s="1" t="n">
        <v>45168</v>
      </c>
      <c r="C1065" s="1" t="n">
        <v>45952</v>
      </c>
      <c r="D1065" t="inlineStr">
        <is>
          <t>ÖREBRO LÄN</t>
        </is>
      </c>
      <c r="E1065" t="inlineStr">
        <is>
          <t>HÄLLEFORS</t>
        </is>
      </c>
      <c r="F1065" t="inlineStr">
        <is>
          <t>Bergvik skog väst AB</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37137-2022</t>
        </is>
      </c>
      <c r="B1066" s="1" t="n">
        <v>44805</v>
      </c>
      <c r="C1066" s="1" t="n">
        <v>45952</v>
      </c>
      <c r="D1066" t="inlineStr">
        <is>
          <t>ÖREBRO LÄN</t>
        </is>
      </c>
      <c r="E1066" t="inlineStr">
        <is>
          <t>LAXÅ</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18672-2022</t>
        </is>
      </c>
      <c r="B1067" s="1" t="n">
        <v>44687.54699074074</v>
      </c>
      <c r="C1067" s="1" t="n">
        <v>45952</v>
      </c>
      <c r="D1067" t="inlineStr">
        <is>
          <t>ÖREBRO LÄN</t>
        </is>
      </c>
      <c r="E1067" t="inlineStr">
        <is>
          <t>ASKERSUND</t>
        </is>
      </c>
      <c r="F1067" t="inlineStr">
        <is>
          <t>Sveaskog</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62423-2021</t>
        </is>
      </c>
      <c r="B1068" s="1" t="n">
        <v>44503</v>
      </c>
      <c r="C1068" s="1" t="n">
        <v>45952</v>
      </c>
      <c r="D1068" t="inlineStr">
        <is>
          <t>ÖREBRO LÄN</t>
        </is>
      </c>
      <c r="E1068" t="inlineStr">
        <is>
          <t>LAXÅ</t>
        </is>
      </c>
      <c r="F1068" t="inlineStr">
        <is>
          <t>Sveaskog</t>
        </is>
      </c>
      <c r="G1068" t="n">
        <v>5.5</v>
      </c>
      <c r="H1068" t="n">
        <v>0</v>
      </c>
      <c r="I1068" t="n">
        <v>0</v>
      </c>
      <c r="J1068" t="n">
        <v>0</v>
      </c>
      <c r="K1068" t="n">
        <v>0</v>
      </c>
      <c r="L1068" t="n">
        <v>0</v>
      </c>
      <c r="M1068" t="n">
        <v>0</v>
      </c>
      <c r="N1068" t="n">
        <v>0</v>
      </c>
      <c r="O1068" t="n">
        <v>0</v>
      </c>
      <c r="P1068" t="n">
        <v>0</v>
      </c>
      <c r="Q1068" t="n">
        <v>0</v>
      </c>
      <c r="R1068" s="2" t="inlineStr"/>
    </row>
    <row r="1069" ht="15" customHeight="1">
      <c r="A1069" t="inlineStr">
        <is>
          <t>A 49881-2024</t>
        </is>
      </c>
      <c r="B1069" s="1" t="n">
        <v>45597.50105324074</v>
      </c>
      <c r="C1069" s="1" t="n">
        <v>45952</v>
      </c>
      <c r="D1069" t="inlineStr">
        <is>
          <t>ÖREBRO LÄN</t>
        </is>
      </c>
      <c r="E1069" t="inlineStr">
        <is>
          <t>LAXÅ</t>
        </is>
      </c>
      <c r="F1069" t="inlineStr">
        <is>
          <t>Sveaskog</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4164-2022</t>
        </is>
      </c>
      <c r="B1070" s="1" t="n">
        <v>44588</v>
      </c>
      <c r="C1070" s="1" t="n">
        <v>45952</v>
      </c>
      <c r="D1070" t="inlineStr">
        <is>
          <t>ÖREBRO LÄN</t>
        </is>
      </c>
      <c r="E1070" t="inlineStr">
        <is>
          <t>KARLSKOGA</t>
        </is>
      </c>
      <c r="F1070" t="inlineStr">
        <is>
          <t>Kommuner</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61232-2021</t>
        </is>
      </c>
      <c r="B1071" s="1" t="n">
        <v>44498</v>
      </c>
      <c r="C1071" s="1" t="n">
        <v>45952</v>
      </c>
      <c r="D1071" t="inlineStr">
        <is>
          <t>ÖREBRO LÄN</t>
        </is>
      </c>
      <c r="E1071" t="inlineStr">
        <is>
          <t>ÖREBRO</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59176-2021</t>
        </is>
      </c>
      <c r="B1072" s="1" t="n">
        <v>44490</v>
      </c>
      <c r="C1072" s="1" t="n">
        <v>45952</v>
      </c>
      <c r="D1072" t="inlineStr">
        <is>
          <t>ÖREBRO LÄN</t>
        </is>
      </c>
      <c r="E1072" t="inlineStr">
        <is>
          <t>HALLSBERG</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13943-2022</t>
        </is>
      </c>
      <c r="B1073" s="1" t="n">
        <v>44650.47945601852</v>
      </c>
      <c r="C1073" s="1" t="n">
        <v>45952</v>
      </c>
      <c r="D1073" t="inlineStr">
        <is>
          <t>ÖREBRO LÄN</t>
        </is>
      </c>
      <c r="E1073" t="inlineStr">
        <is>
          <t>LINDESBERG</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33862-2021</t>
        </is>
      </c>
      <c r="B1074" s="1" t="n">
        <v>44378.62453703704</v>
      </c>
      <c r="C1074" s="1" t="n">
        <v>45952</v>
      </c>
      <c r="D1074" t="inlineStr">
        <is>
          <t>ÖREBRO LÄN</t>
        </is>
      </c>
      <c r="E1074" t="inlineStr">
        <is>
          <t>LAXÅ</t>
        </is>
      </c>
      <c r="F1074" t="inlineStr">
        <is>
          <t>Sveaskog</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14464-2021</t>
        </is>
      </c>
      <c r="B1075" s="1" t="n">
        <v>44279</v>
      </c>
      <c r="C1075" s="1" t="n">
        <v>45952</v>
      </c>
      <c r="D1075" t="inlineStr">
        <is>
          <t>ÖREBRO LÄN</t>
        </is>
      </c>
      <c r="E1075" t="inlineStr">
        <is>
          <t>ASKERSUND</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57221-2020</t>
        </is>
      </c>
      <c r="B1076" s="1" t="n">
        <v>44139</v>
      </c>
      <c r="C1076" s="1" t="n">
        <v>45952</v>
      </c>
      <c r="D1076" t="inlineStr">
        <is>
          <t>ÖREBRO LÄN</t>
        </is>
      </c>
      <c r="E1076" t="inlineStr">
        <is>
          <t>ASKERSUND</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26527-2021</t>
        </is>
      </c>
      <c r="B1077" s="1" t="n">
        <v>44348</v>
      </c>
      <c r="C1077" s="1" t="n">
        <v>45952</v>
      </c>
      <c r="D1077" t="inlineStr">
        <is>
          <t>ÖREBRO LÄN</t>
        </is>
      </c>
      <c r="E1077" t="inlineStr">
        <is>
          <t>HÄLLEFORS</t>
        </is>
      </c>
      <c r="F1077" t="inlineStr">
        <is>
          <t>Bergvik skog väst AB</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35230-2024</t>
        </is>
      </c>
      <c r="B1078" s="1" t="n">
        <v>45530</v>
      </c>
      <c r="C1078" s="1" t="n">
        <v>45952</v>
      </c>
      <c r="D1078" t="inlineStr">
        <is>
          <t>ÖREBRO LÄN</t>
        </is>
      </c>
      <c r="E1078" t="inlineStr">
        <is>
          <t>LINDESBERG</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35471-2024</t>
        </is>
      </c>
      <c r="B1079" s="1" t="n">
        <v>45531.46973379629</v>
      </c>
      <c r="C1079" s="1" t="n">
        <v>45952</v>
      </c>
      <c r="D1079" t="inlineStr">
        <is>
          <t>ÖREBRO LÄN</t>
        </is>
      </c>
      <c r="E1079" t="inlineStr">
        <is>
          <t>KARLSKOGA</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14208-2025</t>
        </is>
      </c>
      <c r="B1080" s="1" t="n">
        <v>45740.57796296296</v>
      </c>
      <c r="C1080" s="1" t="n">
        <v>45952</v>
      </c>
      <c r="D1080" t="inlineStr">
        <is>
          <t>ÖREBRO LÄN</t>
        </is>
      </c>
      <c r="E1080" t="inlineStr">
        <is>
          <t>LAXÅ</t>
        </is>
      </c>
      <c r="F1080" t="inlineStr">
        <is>
          <t>Sveaskog</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68578-2021</t>
        </is>
      </c>
      <c r="B1081" s="1" t="n">
        <v>44529.52201388889</v>
      </c>
      <c r="C1081" s="1" t="n">
        <v>45952</v>
      </c>
      <c r="D1081" t="inlineStr">
        <is>
          <t>ÖREBRO LÄN</t>
        </is>
      </c>
      <c r="E1081" t="inlineStr">
        <is>
          <t>DEGERFORS</t>
        </is>
      </c>
      <c r="F1081" t="inlineStr">
        <is>
          <t>Sveaskog</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57498-2021</t>
        </is>
      </c>
      <c r="B1082" s="1" t="n">
        <v>44483</v>
      </c>
      <c r="C1082" s="1" t="n">
        <v>45952</v>
      </c>
      <c r="D1082" t="inlineStr">
        <is>
          <t>ÖREBRO LÄN</t>
        </is>
      </c>
      <c r="E1082" t="inlineStr">
        <is>
          <t>ÖREBRO</t>
        </is>
      </c>
      <c r="F1082" t="inlineStr">
        <is>
          <t>Övriga Aktiebolag</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47044-2021</t>
        </is>
      </c>
      <c r="B1083" s="1" t="n">
        <v>44446</v>
      </c>
      <c r="C1083" s="1" t="n">
        <v>45952</v>
      </c>
      <c r="D1083" t="inlineStr">
        <is>
          <t>ÖREBRO LÄN</t>
        </is>
      </c>
      <c r="E1083" t="inlineStr">
        <is>
          <t>LINDESBERG</t>
        </is>
      </c>
      <c r="G1083" t="n">
        <v>5</v>
      </c>
      <c r="H1083" t="n">
        <v>0</v>
      </c>
      <c r="I1083" t="n">
        <v>0</v>
      </c>
      <c r="J1083" t="n">
        <v>0</v>
      </c>
      <c r="K1083" t="n">
        <v>0</v>
      </c>
      <c r="L1083" t="n">
        <v>0</v>
      </c>
      <c r="M1083" t="n">
        <v>0</v>
      </c>
      <c r="N1083" t="n">
        <v>0</v>
      </c>
      <c r="O1083" t="n">
        <v>0</v>
      </c>
      <c r="P1083" t="n">
        <v>0</v>
      </c>
      <c r="Q1083" t="n">
        <v>0</v>
      </c>
      <c r="R1083" s="2" t="inlineStr"/>
    </row>
    <row r="1084" ht="15" customHeight="1">
      <c r="A1084" t="inlineStr">
        <is>
          <t>A 65194-2023</t>
        </is>
      </c>
      <c r="B1084" s="1" t="n">
        <v>45289</v>
      </c>
      <c r="C1084" s="1" t="n">
        <v>45952</v>
      </c>
      <c r="D1084" t="inlineStr">
        <is>
          <t>ÖREBRO LÄN</t>
        </is>
      </c>
      <c r="E1084" t="inlineStr">
        <is>
          <t>LINDESBERG</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61794-2024</t>
        </is>
      </c>
      <c r="B1085" s="1" t="n">
        <v>45649</v>
      </c>
      <c r="C1085" s="1" t="n">
        <v>45952</v>
      </c>
      <c r="D1085" t="inlineStr">
        <is>
          <t>ÖREBRO LÄN</t>
        </is>
      </c>
      <c r="E1085" t="inlineStr">
        <is>
          <t>LJUSNARSBERG</t>
        </is>
      </c>
      <c r="F1085" t="inlineStr">
        <is>
          <t>Bergvik skog väst AB</t>
        </is>
      </c>
      <c r="G1085" t="n">
        <v>5.3</v>
      </c>
      <c r="H1085" t="n">
        <v>0</v>
      </c>
      <c r="I1085" t="n">
        <v>0</v>
      </c>
      <c r="J1085" t="n">
        <v>0</v>
      </c>
      <c r="K1085" t="n">
        <v>0</v>
      </c>
      <c r="L1085" t="n">
        <v>0</v>
      </c>
      <c r="M1085" t="n">
        <v>0</v>
      </c>
      <c r="N1085" t="n">
        <v>0</v>
      </c>
      <c r="O1085" t="n">
        <v>0</v>
      </c>
      <c r="P1085" t="n">
        <v>0</v>
      </c>
      <c r="Q1085" t="n">
        <v>0</v>
      </c>
      <c r="R1085" s="2" t="inlineStr"/>
    </row>
    <row r="1086" ht="15" customHeight="1">
      <c r="A1086" t="inlineStr">
        <is>
          <t>A 61813-2024</t>
        </is>
      </c>
      <c r="B1086" s="1" t="n">
        <v>45649.59596064815</v>
      </c>
      <c r="C1086" s="1" t="n">
        <v>45952</v>
      </c>
      <c r="D1086" t="inlineStr">
        <is>
          <t>ÖREBRO LÄN</t>
        </is>
      </c>
      <c r="E1086" t="inlineStr">
        <is>
          <t>KARLSKOGA</t>
        </is>
      </c>
      <c r="F1086" t="inlineStr">
        <is>
          <t>Kyrkan</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69208-2021</t>
        </is>
      </c>
      <c r="B1087" s="1" t="n">
        <v>44531.3575</v>
      </c>
      <c r="C1087" s="1" t="n">
        <v>45952</v>
      </c>
      <c r="D1087" t="inlineStr">
        <is>
          <t>ÖREBRO LÄN</t>
        </is>
      </c>
      <c r="E1087" t="inlineStr">
        <is>
          <t>LINDESBERG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56260-2021</t>
        </is>
      </c>
      <c r="B1088" s="1" t="n">
        <v>44479.58512731481</v>
      </c>
      <c r="C1088" s="1" t="n">
        <v>45952</v>
      </c>
      <c r="D1088" t="inlineStr">
        <is>
          <t>ÖREBRO LÄN</t>
        </is>
      </c>
      <c r="E1088" t="inlineStr">
        <is>
          <t>LINDESBERG</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34998-2022</t>
        </is>
      </c>
      <c r="B1089" s="1" t="n">
        <v>44796</v>
      </c>
      <c r="C1089" s="1" t="n">
        <v>45952</v>
      </c>
      <c r="D1089" t="inlineStr">
        <is>
          <t>ÖREBRO LÄN</t>
        </is>
      </c>
      <c r="E1089" t="inlineStr">
        <is>
          <t>ASKERSUND</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63647-2020</t>
        </is>
      </c>
      <c r="B1090" s="1" t="n">
        <v>44162</v>
      </c>
      <c r="C1090" s="1" t="n">
        <v>45952</v>
      </c>
      <c r="D1090" t="inlineStr">
        <is>
          <t>ÖREBRO LÄN</t>
        </is>
      </c>
      <c r="E1090" t="inlineStr">
        <is>
          <t>ASKERSUND</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49634-2022</t>
        </is>
      </c>
      <c r="B1091" s="1" t="n">
        <v>44862.43146990741</v>
      </c>
      <c r="C1091" s="1" t="n">
        <v>45952</v>
      </c>
      <c r="D1091" t="inlineStr">
        <is>
          <t>ÖREBRO LÄN</t>
        </is>
      </c>
      <c r="E1091" t="inlineStr">
        <is>
          <t>NORA</t>
        </is>
      </c>
      <c r="F1091" t="inlineStr">
        <is>
          <t>Sveaskog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49635-2022</t>
        </is>
      </c>
      <c r="B1092" s="1" t="n">
        <v>44862.43199074074</v>
      </c>
      <c r="C1092" s="1" t="n">
        <v>45952</v>
      </c>
      <c r="D1092" t="inlineStr">
        <is>
          <t>ÖREBRO LÄN</t>
        </is>
      </c>
      <c r="E1092" t="inlineStr">
        <is>
          <t>NORA</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40696-2022</t>
        </is>
      </c>
      <c r="B1093" s="1" t="n">
        <v>44824</v>
      </c>
      <c r="C1093" s="1" t="n">
        <v>45952</v>
      </c>
      <c r="D1093" t="inlineStr">
        <is>
          <t>ÖREBRO LÄN</t>
        </is>
      </c>
      <c r="E1093" t="inlineStr">
        <is>
          <t>LEKEBERG</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35222-2021</t>
        </is>
      </c>
      <c r="B1094" s="1" t="n">
        <v>44384.56912037037</v>
      </c>
      <c r="C1094" s="1" t="n">
        <v>45952</v>
      </c>
      <c r="D1094" t="inlineStr">
        <is>
          <t>ÖREBRO LÄN</t>
        </is>
      </c>
      <c r="E1094" t="inlineStr">
        <is>
          <t>LINDESBERG</t>
        </is>
      </c>
      <c r="G1094" t="n">
        <v>10.5</v>
      </c>
      <c r="H1094" t="n">
        <v>0</v>
      </c>
      <c r="I1094" t="n">
        <v>0</v>
      </c>
      <c r="J1094" t="n">
        <v>0</v>
      </c>
      <c r="K1094" t="n">
        <v>0</v>
      </c>
      <c r="L1094" t="n">
        <v>0</v>
      </c>
      <c r="M1094" t="n">
        <v>0</v>
      </c>
      <c r="N1094" t="n">
        <v>0</v>
      </c>
      <c r="O1094" t="n">
        <v>0</v>
      </c>
      <c r="P1094" t="n">
        <v>0</v>
      </c>
      <c r="Q1094" t="n">
        <v>0</v>
      </c>
      <c r="R1094" s="2" t="inlineStr"/>
    </row>
    <row r="1095" ht="15" customHeight="1">
      <c r="A1095" t="inlineStr">
        <is>
          <t>A 22810-2021</t>
        </is>
      </c>
      <c r="B1095" s="1" t="n">
        <v>44328.31252314815</v>
      </c>
      <c r="C1095" s="1" t="n">
        <v>45952</v>
      </c>
      <c r="D1095" t="inlineStr">
        <is>
          <t>ÖREBRO LÄN</t>
        </is>
      </c>
      <c r="E1095" t="inlineStr">
        <is>
          <t>LAXÅ</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56123-2022</t>
        </is>
      </c>
      <c r="B1096" s="1" t="n">
        <v>44889.68100694445</v>
      </c>
      <c r="C1096" s="1" t="n">
        <v>45952</v>
      </c>
      <c r="D1096" t="inlineStr">
        <is>
          <t>ÖREBRO LÄN</t>
        </is>
      </c>
      <c r="E1096" t="inlineStr">
        <is>
          <t>LINDESBERG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50552-2022</t>
        </is>
      </c>
      <c r="B1097" s="1" t="n">
        <v>44866.62049768519</v>
      </c>
      <c r="C1097" s="1" t="n">
        <v>45952</v>
      </c>
      <c r="D1097" t="inlineStr">
        <is>
          <t>ÖREBRO LÄN</t>
        </is>
      </c>
      <c r="E1097" t="inlineStr">
        <is>
          <t>LJUSNARSBERG</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32729-2021</t>
        </is>
      </c>
      <c r="B1098" s="1" t="n">
        <v>44375</v>
      </c>
      <c r="C1098" s="1" t="n">
        <v>45952</v>
      </c>
      <c r="D1098" t="inlineStr">
        <is>
          <t>ÖREBRO LÄN</t>
        </is>
      </c>
      <c r="E1098" t="inlineStr">
        <is>
          <t>DEGERFORS</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9751-2022</t>
        </is>
      </c>
      <c r="B1099" s="1" t="n">
        <v>44618</v>
      </c>
      <c r="C1099" s="1" t="n">
        <v>45952</v>
      </c>
      <c r="D1099" t="inlineStr">
        <is>
          <t>ÖREBRO LÄN</t>
        </is>
      </c>
      <c r="E1099" t="inlineStr">
        <is>
          <t>LINDESBERG</t>
        </is>
      </c>
      <c r="G1099" t="n">
        <v>13.9</v>
      </c>
      <c r="H1099" t="n">
        <v>0</v>
      </c>
      <c r="I1099" t="n">
        <v>0</v>
      </c>
      <c r="J1099" t="n">
        <v>0</v>
      </c>
      <c r="K1099" t="n">
        <v>0</v>
      </c>
      <c r="L1099" t="n">
        <v>0</v>
      </c>
      <c r="M1099" t="n">
        <v>0</v>
      </c>
      <c r="N1099" t="n">
        <v>0</v>
      </c>
      <c r="O1099" t="n">
        <v>0</v>
      </c>
      <c r="P1099" t="n">
        <v>0</v>
      </c>
      <c r="Q1099" t="n">
        <v>0</v>
      </c>
      <c r="R1099" s="2" t="inlineStr"/>
    </row>
    <row r="1100" ht="15" customHeight="1">
      <c r="A1100" t="inlineStr">
        <is>
          <t>A 29669-2022</t>
        </is>
      </c>
      <c r="B1100" s="1" t="n">
        <v>44754</v>
      </c>
      <c r="C1100" s="1" t="n">
        <v>45952</v>
      </c>
      <c r="D1100" t="inlineStr">
        <is>
          <t>ÖREBRO LÄN</t>
        </is>
      </c>
      <c r="E1100" t="inlineStr">
        <is>
          <t>HÄLLEFORS</t>
        </is>
      </c>
      <c r="F1100" t="inlineStr">
        <is>
          <t>Bergvik skog väst AB</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50753-2022</t>
        </is>
      </c>
      <c r="B1101" s="1" t="n">
        <v>44867</v>
      </c>
      <c r="C1101" s="1" t="n">
        <v>45952</v>
      </c>
      <c r="D1101" t="inlineStr">
        <is>
          <t>ÖREBRO LÄN</t>
        </is>
      </c>
      <c r="E1101" t="inlineStr">
        <is>
          <t>LAXÅ</t>
        </is>
      </c>
      <c r="F1101" t="inlineStr">
        <is>
          <t>Sveaskog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55299-2022</t>
        </is>
      </c>
      <c r="B1102" s="1" t="n">
        <v>44887</v>
      </c>
      <c r="C1102" s="1" t="n">
        <v>45952</v>
      </c>
      <c r="D1102" t="inlineStr">
        <is>
          <t>ÖREBRO LÄN</t>
        </is>
      </c>
      <c r="E1102" t="inlineStr">
        <is>
          <t>HÄLLEFORS</t>
        </is>
      </c>
      <c r="F1102" t="inlineStr">
        <is>
          <t>Bergvik skog väst AB</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48939-2021</t>
        </is>
      </c>
      <c r="B1103" s="1" t="n">
        <v>44453</v>
      </c>
      <c r="C1103" s="1" t="n">
        <v>45952</v>
      </c>
      <c r="D1103" t="inlineStr">
        <is>
          <t>ÖREBRO LÄN</t>
        </is>
      </c>
      <c r="E1103" t="inlineStr">
        <is>
          <t>LINDESBERG</t>
        </is>
      </c>
      <c r="G1103" t="n">
        <v>5</v>
      </c>
      <c r="H1103" t="n">
        <v>0</v>
      </c>
      <c r="I1103" t="n">
        <v>0</v>
      </c>
      <c r="J1103" t="n">
        <v>0</v>
      </c>
      <c r="K1103" t="n">
        <v>0</v>
      </c>
      <c r="L1103" t="n">
        <v>0</v>
      </c>
      <c r="M1103" t="n">
        <v>0</v>
      </c>
      <c r="N1103" t="n">
        <v>0</v>
      </c>
      <c r="O1103" t="n">
        <v>0</v>
      </c>
      <c r="P1103" t="n">
        <v>0</v>
      </c>
      <c r="Q1103" t="n">
        <v>0</v>
      </c>
      <c r="R1103" s="2" t="inlineStr"/>
    </row>
    <row r="1104" ht="15" customHeight="1">
      <c r="A1104" t="inlineStr">
        <is>
          <t>A 42743-2021</t>
        </is>
      </c>
      <c r="B1104" s="1" t="n">
        <v>44428.61717592592</v>
      </c>
      <c r="C1104" s="1" t="n">
        <v>45952</v>
      </c>
      <c r="D1104" t="inlineStr">
        <is>
          <t>ÖREBRO LÄN</t>
        </is>
      </c>
      <c r="E1104" t="inlineStr">
        <is>
          <t>NORA</t>
        </is>
      </c>
      <c r="F1104" t="inlineStr">
        <is>
          <t>Sveaskog</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6638-2022</t>
        </is>
      </c>
      <c r="B1105" s="1" t="n">
        <v>44601</v>
      </c>
      <c r="C1105" s="1" t="n">
        <v>45952</v>
      </c>
      <c r="D1105" t="inlineStr">
        <is>
          <t>ÖREBRO LÄN</t>
        </is>
      </c>
      <c r="E1105" t="inlineStr">
        <is>
          <t>ÖREBRO</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29665-2022</t>
        </is>
      </c>
      <c r="B1106" s="1" t="n">
        <v>44754</v>
      </c>
      <c r="C1106" s="1" t="n">
        <v>45952</v>
      </c>
      <c r="D1106" t="inlineStr">
        <is>
          <t>ÖREBRO LÄN</t>
        </is>
      </c>
      <c r="E1106" t="inlineStr">
        <is>
          <t>HÄLLEFORS</t>
        </is>
      </c>
      <c r="F1106" t="inlineStr">
        <is>
          <t>Bergvik skog väst AB</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65000-2021</t>
        </is>
      </c>
      <c r="B1107" s="1" t="n">
        <v>44514</v>
      </c>
      <c r="C1107" s="1" t="n">
        <v>45952</v>
      </c>
      <c r="D1107" t="inlineStr">
        <is>
          <t>ÖREBRO LÄN</t>
        </is>
      </c>
      <c r="E1107" t="inlineStr">
        <is>
          <t>ASKERSUND</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41456-2023</t>
        </is>
      </c>
      <c r="B1108" s="1" t="n">
        <v>45175.39209490741</v>
      </c>
      <c r="C1108" s="1" t="n">
        <v>45952</v>
      </c>
      <c r="D1108" t="inlineStr">
        <is>
          <t>ÖREBRO LÄN</t>
        </is>
      </c>
      <c r="E1108" t="inlineStr">
        <is>
          <t>LAXÅ</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6904-2023</t>
        </is>
      </c>
      <c r="B1109" s="1" t="n">
        <v>44967.51170138889</v>
      </c>
      <c r="C1109" s="1" t="n">
        <v>45952</v>
      </c>
      <c r="D1109" t="inlineStr">
        <is>
          <t>ÖREBRO LÄN</t>
        </is>
      </c>
      <c r="E1109" t="inlineStr">
        <is>
          <t>ASKERSUND</t>
        </is>
      </c>
      <c r="F1109" t="inlineStr">
        <is>
          <t>Sveaskog</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18556-2024</t>
        </is>
      </c>
      <c r="B1110" s="1" t="n">
        <v>45425.65702546296</v>
      </c>
      <c r="C1110" s="1" t="n">
        <v>45952</v>
      </c>
      <c r="D1110" t="inlineStr">
        <is>
          <t>ÖREBRO LÄN</t>
        </is>
      </c>
      <c r="E1110" t="inlineStr">
        <is>
          <t>HALLSBERG</t>
        </is>
      </c>
      <c r="F1110" t="inlineStr">
        <is>
          <t>Sveaskog</t>
        </is>
      </c>
      <c r="G1110" t="n">
        <v>3.8</v>
      </c>
      <c r="H1110" t="n">
        <v>0</v>
      </c>
      <c r="I1110" t="n">
        <v>0</v>
      </c>
      <c r="J1110" t="n">
        <v>0</v>
      </c>
      <c r="K1110" t="n">
        <v>0</v>
      </c>
      <c r="L1110" t="n">
        <v>0</v>
      </c>
      <c r="M1110" t="n">
        <v>0</v>
      </c>
      <c r="N1110" t="n">
        <v>0</v>
      </c>
      <c r="O1110" t="n">
        <v>0</v>
      </c>
      <c r="P1110" t="n">
        <v>0</v>
      </c>
      <c r="Q1110" t="n">
        <v>0</v>
      </c>
      <c r="R1110" s="2" t="inlineStr"/>
    </row>
    <row r="1111" ht="15" customHeight="1">
      <c r="A1111" t="inlineStr">
        <is>
          <t>A 65456-2021</t>
        </is>
      </c>
      <c r="B1111" s="1" t="n">
        <v>44515</v>
      </c>
      <c r="C1111" s="1" t="n">
        <v>45952</v>
      </c>
      <c r="D1111" t="inlineStr">
        <is>
          <t>ÖREBRO LÄN</t>
        </is>
      </c>
      <c r="E1111" t="inlineStr">
        <is>
          <t>DEGERFORS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70500-2021</t>
        </is>
      </c>
      <c r="B1112" s="1" t="n">
        <v>44536</v>
      </c>
      <c r="C1112" s="1" t="n">
        <v>45952</v>
      </c>
      <c r="D1112" t="inlineStr">
        <is>
          <t>ÖREBRO LÄN</t>
        </is>
      </c>
      <c r="E1112" t="inlineStr">
        <is>
          <t>LINDESBERG</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63941-2021</t>
        </is>
      </c>
      <c r="B1113" s="1" t="n">
        <v>44509.7458449074</v>
      </c>
      <c r="C1113" s="1" t="n">
        <v>45952</v>
      </c>
      <c r="D1113" t="inlineStr">
        <is>
          <t>ÖREBRO LÄN</t>
        </is>
      </c>
      <c r="E1113" t="inlineStr">
        <is>
          <t>ASKERSUND</t>
        </is>
      </c>
      <c r="F1113" t="inlineStr">
        <is>
          <t>Sveaskog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4548-2022</t>
        </is>
      </c>
      <c r="B1114" s="1" t="n">
        <v>44590.84471064815</v>
      </c>
      <c r="C1114" s="1" t="n">
        <v>45952</v>
      </c>
      <c r="D1114" t="inlineStr">
        <is>
          <t>ÖREBRO LÄN</t>
        </is>
      </c>
      <c r="E1114" t="inlineStr">
        <is>
          <t>HÄLLEFORS</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25574-2023</t>
        </is>
      </c>
      <c r="B1115" s="1" t="n">
        <v>45089</v>
      </c>
      <c r="C1115" s="1" t="n">
        <v>45952</v>
      </c>
      <c r="D1115" t="inlineStr">
        <is>
          <t>ÖREBRO LÄN</t>
        </is>
      </c>
      <c r="E1115" t="inlineStr">
        <is>
          <t>LJUSNARSBERG</t>
        </is>
      </c>
      <c r="F1115" t="inlineStr">
        <is>
          <t>Sveaskog</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48184-2022</t>
        </is>
      </c>
      <c r="B1116" s="1" t="n">
        <v>44858</v>
      </c>
      <c r="C1116" s="1" t="n">
        <v>45952</v>
      </c>
      <c r="D1116" t="inlineStr">
        <is>
          <t>ÖREBRO LÄN</t>
        </is>
      </c>
      <c r="E1116" t="inlineStr">
        <is>
          <t>HÄLLEFORS</t>
        </is>
      </c>
      <c r="F1116" t="inlineStr">
        <is>
          <t>Bergvik skog väst AB</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12730-2022</t>
        </is>
      </c>
      <c r="B1117" s="1" t="n">
        <v>44641</v>
      </c>
      <c r="C1117" s="1" t="n">
        <v>45952</v>
      </c>
      <c r="D1117" t="inlineStr">
        <is>
          <t>ÖREBRO LÄN</t>
        </is>
      </c>
      <c r="E1117" t="inlineStr">
        <is>
          <t>ASKERSUND</t>
        </is>
      </c>
      <c r="F1117" t="inlineStr">
        <is>
          <t>Sveaskog</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12073-2022</t>
        </is>
      </c>
      <c r="B1118" s="1" t="n">
        <v>44636.46935185185</v>
      </c>
      <c r="C1118" s="1" t="n">
        <v>45952</v>
      </c>
      <c r="D1118" t="inlineStr">
        <is>
          <t>ÖREBRO LÄN</t>
        </is>
      </c>
      <c r="E1118" t="inlineStr">
        <is>
          <t>LINDESBERG</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33814-2021</t>
        </is>
      </c>
      <c r="B1119" s="1" t="n">
        <v>44378</v>
      </c>
      <c r="C1119" s="1" t="n">
        <v>45952</v>
      </c>
      <c r="D1119" t="inlineStr">
        <is>
          <t>ÖREBRO LÄN</t>
        </is>
      </c>
      <c r="E1119" t="inlineStr">
        <is>
          <t>ÖREBRO</t>
        </is>
      </c>
      <c r="F1119" t="inlineStr">
        <is>
          <t>Kommuner</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37146-2022</t>
        </is>
      </c>
      <c r="B1120" s="1" t="n">
        <v>44805</v>
      </c>
      <c r="C1120" s="1" t="n">
        <v>45952</v>
      </c>
      <c r="D1120" t="inlineStr">
        <is>
          <t>ÖREBRO LÄN</t>
        </is>
      </c>
      <c r="E1120" t="inlineStr">
        <is>
          <t>LAXÅ</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70153-2021</t>
        </is>
      </c>
      <c r="B1121" s="1" t="n">
        <v>44533.67351851852</v>
      </c>
      <c r="C1121" s="1" t="n">
        <v>45952</v>
      </c>
      <c r="D1121" t="inlineStr">
        <is>
          <t>ÖREBRO LÄN</t>
        </is>
      </c>
      <c r="E1121" t="inlineStr">
        <is>
          <t>HALLSBERG</t>
        </is>
      </c>
      <c r="F1121" t="inlineStr">
        <is>
          <t>Allmännings- och besparingsskogar</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67275-2021</t>
        </is>
      </c>
      <c r="B1122" s="1" t="n">
        <v>44523</v>
      </c>
      <c r="C1122" s="1" t="n">
        <v>45952</v>
      </c>
      <c r="D1122" t="inlineStr">
        <is>
          <t>ÖREBRO LÄN</t>
        </is>
      </c>
      <c r="E1122" t="inlineStr">
        <is>
          <t>ASKERSUND</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40692-2021</t>
        </is>
      </c>
      <c r="B1123" s="1" t="n">
        <v>44420.60616898148</v>
      </c>
      <c r="C1123" s="1" t="n">
        <v>45952</v>
      </c>
      <c r="D1123" t="inlineStr">
        <is>
          <t>ÖREBRO LÄN</t>
        </is>
      </c>
      <c r="E1123" t="inlineStr">
        <is>
          <t>LINDESBERG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39183-2022</t>
        </is>
      </c>
      <c r="B1124" s="1" t="n">
        <v>44817.51229166667</v>
      </c>
      <c r="C1124" s="1" t="n">
        <v>45952</v>
      </c>
      <c r="D1124" t="inlineStr">
        <is>
          <t>ÖREBRO LÄN</t>
        </is>
      </c>
      <c r="E1124" t="inlineStr">
        <is>
          <t>HÄLLEFORS</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6962-2023</t>
        </is>
      </c>
      <c r="B1125" s="1" t="n">
        <v>44967.60165509259</v>
      </c>
      <c r="C1125" s="1" t="n">
        <v>45952</v>
      </c>
      <c r="D1125" t="inlineStr">
        <is>
          <t>ÖREBRO LÄN</t>
        </is>
      </c>
      <c r="E1125" t="inlineStr">
        <is>
          <t>LINDESBERG</t>
        </is>
      </c>
      <c r="G1125" t="n">
        <v>11.4</v>
      </c>
      <c r="H1125" t="n">
        <v>0</v>
      </c>
      <c r="I1125" t="n">
        <v>0</v>
      </c>
      <c r="J1125" t="n">
        <v>0</v>
      </c>
      <c r="K1125" t="n">
        <v>0</v>
      </c>
      <c r="L1125" t="n">
        <v>0</v>
      </c>
      <c r="M1125" t="n">
        <v>0</v>
      </c>
      <c r="N1125" t="n">
        <v>0</v>
      </c>
      <c r="O1125" t="n">
        <v>0</v>
      </c>
      <c r="P1125" t="n">
        <v>0</v>
      </c>
      <c r="Q1125" t="n">
        <v>0</v>
      </c>
      <c r="R1125" s="2" t="inlineStr"/>
    </row>
    <row r="1126" ht="15" customHeight="1">
      <c r="A1126" t="inlineStr">
        <is>
          <t>A 36015-2021</t>
        </is>
      </c>
      <c r="B1126" s="1" t="n">
        <v>44389</v>
      </c>
      <c r="C1126" s="1" t="n">
        <v>45952</v>
      </c>
      <c r="D1126" t="inlineStr">
        <is>
          <t>ÖREBRO LÄN</t>
        </is>
      </c>
      <c r="E1126" t="inlineStr">
        <is>
          <t>LINDESBERG</t>
        </is>
      </c>
      <c r="F1126" t="inlineStr">
        <is>
          <t>Sveaskog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62678-2020</t>
        </is>
      </c>
      <c r="B1127" s="1" t="n">
        <v>44161</v>
      </c>
      <c r="C1127" s="1" t="n">
        <v>45952</v>
      </c>
      <c r="D1127" t="inlineStr">
        <is>
          <t>ÖREBRO LÄN</t>
        </is>
      </c>
      <c r="E1127" t="inlineStr">
        <is>
          <t>LEKEBERG</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49055-2022</t>
        </is>
      </c>
      <c r="B1128" s="1" t="n">
        <v>44860</v>
      </c>
      <c r="C1128" s="1" t="n">
        <v>45952</v>
      </c>
      <c r="D1128" t="inlineStr">
        <is>
          <t>ÖREBRO LÄN</t>
        </is>
      </c>
      <c r="E1128" t="inlineStr">
        <is>
          <t>LINDESBERG</t>
        </is>
      </c>
      <c r="F1128" t="inlineStr">
        <is>
          <t>Sveaskog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62437-2021</t>
        </is>
      </c>
      <c r="B1129" s="1" t="n">
        <v>44503</v>
      </c>
      <c r="C1129" s="1" t="n">
        <v>45952</v>
      </c>
      <c r="D1129" t="inlineStr">
        <is>
          <t>ÖREBRO LÄN</t>
        </is>
      </c>
      <c r="E1129" t="inlineStr">
        <is>
          <t>LAXÅ</t>
        </is>
      </c>
      <c r="F1129" t="inlineStr">
        <is>
          <t>Sveaskog</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53726-2024</t>
        </is>
      </c>
      <c r="B1130" s="1" t="n">
        <v>45614</v>
      </c>
      <c r="C1130" s="1" t="n">
        <v>45952</v>
      </c>
      <c r="D1130" t="inlineStr">
        <is>
          <t>ÖREBRO LÄN</t>
        </is>
      </c>
      <c r="E1130" t="inlineStr">
        <is>
          <t>LJUSNARSBERG</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67998-2021</t>
        </is>
      </c>
      <c r="B1131" s="1" t="n">
        <v>44525.76128472222</v>
      </c>
      <c r="C1131" s="1" t="n">
        <v>45952</v>
      </c>
      <c r="D1131" t="inlineStr">
        <is>
          <t>ÖREBRO LÄN</t>
        </is>
      </c>
      <c r="E1131" t="inlineStr">
        <is>
          <t>DEGERFORS</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9126-2022</t>
        </is>
      </c>
      <c r="B1132" s="1" t="n">
        <v>44615.58527777778</v>
      </c>
      <c r="C1132" s="1" t="n">
        <v>45952</v>
      </c>
      <c r="D1132" t="inlineStr">
        <is>
          <t>ÖREBRO LÄN</t>
        </is>
      </c>
      <c r="E1132" t="inlineStr">
        <is>
          <t>HALLSBERG</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46603-2021</t>
        </is>
      </c>
      <c r="B1133" s="1" t="n">
        <v>44445</v>
      </c>
      <c r="C1133" s="1" t="n">
        <v>45952</v>
      </c>
      <c r="D1133" t="inlineStr">
        <is>
          <t>ÖREBRO LÄN</t>
        </is>
      </c>
      <c r="E1133" t="inlineStr">
        <is>
          <t>LINDESBERG</t>
        </is>
      </c>
      <c r="F1133" t="inlineStr">
        <is>
          <t>Sveaskog</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20954-2024</t>
        </is>
      </c>
      <c r="B1134" s="1" t="n">
        <v>45439.56605324074</v>
      </c>
      <c r="C1134" s="1" t="n">
        <v>45952</v>
      </c>
      <c r="D1134" t="inlineStr">
        <is>
          <t>ÖREBRO LÄN</t>
        </is>
      </c>
      <c r="E1134" t="inlineStr">
        <is>
          <t>LINDESBERG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4467-2022</t>
        </is>
      </c>
      <c r="B1135" s="1" t="n">
        <v>44589</v>
      </c>
      <c r="C1135" s="1" t="n">
        <v>45952</v>
      </c>
      <c r="D1135" t="inlineStr">
        <is>
          <t>ÖREBRO LÄN</t>
        </is>
      </c>
      <c r="E1135" t="inlineStr">
        <is>
          <t>LEKEBERG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63748-2020</t>
        </is>
      </c>
      <c r="B1136" s="1" t="n">
        <v>44166</v>
      </c>
      <c r="C1136" s="1" t="n">
        <v>45952</v>
      </c>
      <c r="D1136" t="inlineStr">
        <is>
          <t>ÖREBRO LÄN</t>
        </is>
      </c>
      <c r="E1136" t="inlineStr">
        <is>
          <t>HALLSBERG</t>
        </is>
      </c>
      <c r="F1136" t="inlineStr">
        <is>
          <t>Sveaskog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51268-2022</t>
        </is>
      </c>
      <c r="B1137" s="1" t="n">
        <v>44868</v>
      </c>
      <c r="C1137" s="1" t="n">
        <v>45952</v>
      </c>
      <c r="D1137" t="inlineStr">
        <is>
          <t>ÖREBRO LÄN</t>
        </is>
      </c>
      <c r="E1137" t="inlineStr">
        <is>
          <t>ÖREBRO</t>
        </is>
      </c>
      <c r="G1137" t="n">
        <v>3.8</v>
      </c>
      <c r="H1137" t="n">
        <v>0</v>
      </c>
      <c r="I1137" t="n">
        <v>0</v>
      </c>
      <c r="J1137" t="n">
        <v>0</v>
      </c>
      <c r="K1137" t="n">
        <v>0</v>
      </c>
      <c r="L1137" t="n">
        <v>0</v>
      </c>
      <c r="M1137" t="n">
        <v>0</v>
      </c>
      <c r="N1137" t="n">
        <v>0</v>
      </c>
      <c r="O1137" t="n">
        <v>0</v>
      </c>
      <c r="P1137" t="n">
        <v>0</v>
      </c>
      <c r="Q1137" t="n">
        <v>0</v>
      </c>
      <c r="R1137" s="2" t="inlineStr"/>
    </row>
    <row r="1138" ht="15" customHeight="1">
      <c r="A1138" t="inlineStr">
        <is>
          <t>A 63906-2021</t>
        </is>
      </c>
      <c r="B1138" s="1" t="n">
        <v>44509.65762731482</v>
      </c>
      <c r="C1138" s="1" t="n">
        <v>45952</v>
      </c>
      <c r="D1138" t="inlineStr">
        <is>
          <t>ÖREBRO LÄN</t>
        </is>
      </c>
      <c r="E1138" t="inlineStr">
        <is>
          <t>DEGERFORS</t>
        </is>
      </c>
      <c r="F1138" t="inlineStr">
        <is>
          <t>Sveaskog</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9712-2024</t>
        </is>
      </c>
      <c r="B1139" s="1" t="n">
        <v>45362</v>
      </c>
      <c r="C1139" s="1" t="n">
        <v>45952</v>
      </c>
      <c r="D1139" t="inlineStr">
        <is>
          <t>ÖREBRO LÄN</t>
        </is>
      </c>
      <c r="E1139" t="inlineStr">
        <is>
          <t>KARLSKOGA</t>
        </is>
      </c>
      <c r="F1139" t="inlineStr">
        <is>
          <t>Kyrkan</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13631-2022</t>
        </is>
      </c>
      <c r="B1140" s="1" t="n">
        <v>44648</v>
      </c>
      <c r="C1140" s="1" t="n">
        <v>45952</v>
      </c>
      <c r="D1140" t="inlineStr">
        <is>
          <t>ÖREBRO LÄN</t>
        </is>
      </c>
      <c r="E1140" t="inlineStr">
        <is>
          <t>ÖREBRO</t>
        </is>
      </c>
      <c r="G1140" t="n">
        <v>10.4</v>
      </c>
      <c r="H1140" t="n">
        <v>0</v>
      </c>
      <c r="I1140" t="n">
        <v>0</v>
      </c>
      <c r="J1140" t="n">
        <v>0</v>
      </c>
      <c r="K1140" t="n">
        <v>0</v>
      </c>
      <c r="L1140" t="n">
        <v>0</v>
      </c>
      <c r="M1140" t="n">
        <v>0</v>
      </c>
      <c r="N1140" t="n">
        <v>0</v>
      </c>
      <c r="O1140" t="n">
        <v>0</v>
      </c>
      <c r="P1140" t="n">
        <v>0</v>
      </c>
      <c r="Q1140" t="n">
        <v>0</v>
      </c>
      <c r="R1140" s="2" t="inlineStr"/>
    </row>
    <row r="1141" ht="15" customHeight="1">
      <c r="A1141" t="inlineStr">
        <is>
          <t>A 68887-2021</t>
        </is>
      </c>
      <c r="B1141" s="1" t="n">
        <v>44530</v>
      </c>
      <c r="C1141" s="1" t="n">
        <v>45952</v>
      </c>
      <c r="D1141" t="inlineStr">
        <is>
          <t>ÖREBRO LÄN</t>
        </is>
      </c>
      <c r="E1141" t="inlineStr">
        <is>
          <t>NORA</t>
        </is>
      </c>
      <c r="F1141" t="inlineStr">
        <is>
          <t>Sveaskog</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44171-2022</t>
        </is>
      </c>
      <c r="B1142" s="1" t="n">
        <v>44839</v>
      </c>
      <c r="C1142" s="1" t="n">
        <v>45952</v>
      </c>
      <c r="D1142" t="inlineStr">
        <is>
          <t>ÖREBRO LÄN</t>
        </is>
      </c>
      <c r="E1142" t="inlineStr">
        <is>
          <t>HÄLLEFORS</t>
        </is>
      </c>
      <c r="F1142" t="inlineStr">
        <is>
          <t>Bergvik skog väst AB</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46661-2022</t>
        </is>
      </c>
      <c r="B1143" s="1" t="n">
        <v>44850</v>
      </c>
      <c r="C1143" s="1" t="n">
        <v>45952</v>
      </c>
      <c r="D1143" t="inlineStr">
        <is>
          <t>ÖREBRO LÄN</t>
        </is>
      </c>
      <c r="E1143" t="inlineStr">
        <is>
          <t>ASKERSUND</t>
        </is>
      </c>
      <c r="G1143" t="n">
        <v>3</v>
      </c>
      <c r="H1143" t="n">
        <v>0</v>
      </c>
      <c r="I1143" t="n">
        <v>0</v>
      </c>
      <c r="J1143" t="n">
        <v>0</v>
      </c>
      <c r="K1143" t="n">
        <v>0</v>
      </c>
      <c r="L1143" t="n">
        <v>0</v>
      </c>
      <c r="M1143" t="n">
        <v>0</v>
      </c>
      <c r="N1143" t="n">
        <v>0</v>
      </c>
      <c r="O1143" t="n">
        <v>0</v>
      </c>
      <c r="P1143" t="n">
        <v>0</v>
      </c>
      <c r="Q1143" t="n">
        <v>0</v>
      </c>
      <c r="R1143" s="2" t="inlineStr"/>
    </row>
    <row r="1144" ht="15" customHeight="1">
      <c r="A1144" t="inlineStr">
        <is>
          <t>A 5795-2024</t>
        </is>
      </c>
      <c r="B1144" s="1" t="n">
        <v>45335.4531712963</v>
      </c>
      <c r="C1144" s="1" t="n">
        <v>45952</v>
      </c>
      <c r="D1144" t="inlineStr">
        <is>
          <t>ÖREBRO LÄN</t>
        </is>
      </c>
      <c r="E1144" t="inlineStr">
        <is>
          <t>ÖREBRO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37266-2022</t>
        </is>
      </c>
      <c r="B1145" s="1" t="n">
        <v>44807.47078703704</v>
      </c>
      <c r="C1145" s="1" t="n">
        <v>45952</v>
      </c>
      <c r="D1145" t="inlineStr">
        <is>
          <t>ÖREBRO LÄN</t>
        </is>
      </c>
      <c r="E1145" t="inlineStr">
        <is>
          <t>NORA</t>
        </is>
      </c>
      <c r="F1145" t="inlineStr">
        <is>
          <t>Sveaskog</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33695-2023</t>
        </is>
      </c>
      <c r="B1146" s="1" t="n">
        <v>45132.7075</v>
      </c>
      <c r="C1146" s="1" t="n">
        <v>45952</v>
      </c>
      <c r="D1146" t="inlineStr">
        <is>
          <t>ÖREBRO LÄN</t>
        </is>
      </c>
      <c r="E1146" t="inlineStr">
        <is>
          <t>LAXÅ</t>
        </is>
      </c>
      <c r="G1146" t="n">
        <v>6.9</v>
      </c>
      <c r="H1146" t="n">
        <v>0</v>
      </c>
      <c r="I1146" t="n">
        <v>0</v>
      </c>
      <c r="J1146" t="n">
        <v>0</v>
      </c>
      <c r="K1146" t="n">
        <v>0</v>
      </c>
      <c r="L1146" t="n">
        <v>0</v>
      </c>
      <c r="M1146" t="n">
        <v>0</v>
      </c>
      <c r="N1146" t="n">
        <v>0</v>
      </c>
      <c r="O1146" t="n">
        <v>0</v>
      </c>
      <c r="P1146" t="n">
        <v>0</v>
      </c>
      <c r="Q1146" t="n">
        <v>0</v>
      </c>
      <c r="R1146" s="2" t="inlineStr"/>
    </row>
    <row r="1147" ht="15" customHeight="1">
      <c r="A1147" t="inlineStr">
        <is>
          <t>A 44228-2021</t>
        </is>
      </c>
      <c r="B1147" s="1" t="n">
        <v>44434.9337037037</v>
      </c>
      <c r="C1147" s="1" t="n">
        <v>45952</v>
      </c>
      <c r="D1147" t="inlineStr">
        <is>
          <t>ÖREBRO LÄN</t>
        </is>
      </c>
      <c r="E1147" t="inlineStr">
        <is>
          <t>HALLSBERG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6726-2022</t>
        </is>
      </c>
      <c r="B1148" s="1" t="n">
        <v>44602</v>
      </c>
      <c r="C1148" s="1" t="n">
        <v>45952</v>
      </c>
      <c r="D1148" t="inlineStr">
        <is>
          <t>ÖREBRO LÄN</t>
        </is>
      </c>
      <c r="E1148" t="inlineStr">
        <is>
          <t>LINDESBERG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38277-2022</t>
        </is>
      </c>
      <c r="B1149" s="1" t="n">
        <v>44812</v>
      </c>
      <c r="C1149" s="1" t="n">
        <v>45952</v>
      </c>
      <c r="D1149" t="inlineStr">
        <is>
          <t>ÖREBRO LÄN</t>
        </is>
      </c>
      <c r="E1149" t="inlineStr">
        <is>
          <t>LJUSNARSBERG</t>
        </is>
      </c>
      <c r="G1149" t="n">
        <v>5.1</v>
      </c>
      <c r="H1149" t="n">
        <v>0</v>
      </c>
      <c r="I1149" t="n">
        <v>0</v>
      </c>
      <c r="J1149" t="n">
        <v>0</v>
      </c>
      <c r="K1149" t="n">
        <v>0</v>
      </c>
      <c r="L1149" t="n">
        <v>0</v>
      </c>
      <c r="M1149" t="n">
        <v>0</v>
      </c>
      <c r="N1149" t="n">
        <v>0</v>
      </c>
      <c r="O1149" t="n">
        <v>0</v>
      </c>
      <c r="P1149" t="n">
        <v>0</v>
      </c>
      <c r="Q1149" t="n">
        <v>0</v>
      </c>
      <c r="R1149" s="2" t="inlineStr"/>
    </row>
    <row r="1150" ht="15" customHeight="1">
      <c r="A1150" t="inlineStr">
        <is>
          <t>A 34481-2022</t>
        </is>
      </c>
      <c r="B1150" s="1" t="n">
        <v>44792</v>
      </c>
      <c r="C1150" s="1" t="n">
        <v>45952</v>
      </c>
      <c r="D1150" t="inlineStr">
        <is>
          <t>ÖREBRO LÄN</t>
        </is>
      </c>
      <c r="E1150" t="inlineStr">
        <is>
          <t>LAXÅ</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44850-2022</t>
        </is>
      </c>
      <c r="B1151" s="1" t="n">
        <v>44841</v>
      </c>
      <c r="C1151" s="1" t="n">
        <v>45952</v>
      </c>
      <c r="D1151" t="inlineStr">
        <is>
          <t>ÖREBRO LÄN</t>
        </is>
      </c>
      <c r="E1151" t="inlineStr">
        <is>
          <t>NORA</t>
        </is>
      </c>
      <c r="F1151" t="inlineStr">
        <is>
          <t>Sveaskog</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59485-2022</t>
        </is>
      </c>
      <c r="B1152" s="1" t="n">
        <v>44907</v>
      </c>
      <c r="C1152" s="1" t="n">
        <v>45952</v>
      </c>
      <c r="D1152" t="inlineStr">
        <is>
          <t>ÖREBRO LÄN</t>
        </is>
      </c>
      <c r="E1152" t="inlineStr">
        <is>
          <t>HÄLLEFORS</t>
        </is>
      </c>
      <c r="F1152" t="inlineStr">
        <is>
          <t>Bergvik skog väst AB</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56298-2024</t>
        </is>
      </c>
      <c r="B1153" s="1" t="n">
        <v>45624.68584490741</v>
      </c>
      <c r="C1153" s="1" t="n">
        <v>45952</v>
      </c>
      <c r="D1153" t="inlineStr">
        <is>
          <t>ÖREBRO LÄN</t>
        </is>
      </c>
      <c r="E1153" t="inlineStr">
        <is>
          <t>HÄLLEFORS</t>
        </is>
      </c>
      <c r="F1153" t="inlineStr">
        <is>
          <t>Bergvik skog väst AB</t>
        </is>
      </c>
      <c r="G1153" t="n">
        <v>4.6</v>
      </c>
      <c r="H1153" t="n">
        <v>0</v>
      </c>
      <c r="I1153" t="n">
        <v>0</v>
      </c>
      <c r="J1153" t="n">
        <v>0</v>
      </c>
      <c r="K1153" t="n">
        <v>0</v>
      </c>
      <c r="L1153" t="n">
        <v>0</v>
      </c>
      <c r="M1153" t="n">
        <v>0</v>
      </c>
      <c r="N1153" t="n">
        <v>0</v>
      </c>
      <c r="O1153" t="n">
        <v>0</v>
      </c>
      <c r="P1153" t="n">
        <v>0</v>
      </c>
      <c r="Q1153" t="n">
        <v>0</v>
      </c>
      <c r="R1153" s="2" t="inlineStr"/>
    </row>
    <row r="1154" ht="15" customHeight="1">
      <c r="A1154" t="inlineStr">
        <is>
          <t>A 52289-2023</t>
        </is>
      </c>
      <c r="B1154" s="1" t="n">
        <v>45224.59074074074</v>
      </c>
      <c r="C1154" s="1" t="n">
        <v>45952</v>
      </c>
      <c r="D1154" t="inlineStr">
        <is>
          <t>ÖREBRO LÄN</t>
        </is>
      </c>
      <c r="E1154" t="inlineStr">
        <is>
          <t>ASKERSUND</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30767-2023</t>
        </is>
      </c>
      <c r="B1155" s="1" t="n">
        <v>45112.67952546296</v>
      </c>
      <c r="C1155" s="1" t="n">
        <v>45952</v>
      </c>
      <c r="D1155" t="inlineStr">
        <is>
          <t>ÖREBRO LÄN</t>
        </is>
      </c>
      <c r="E1155" t="inlineStr">
        <is>
          <t>LINDESBERG</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30774-2023</t>
        </is>
      </c>
      <c r="B1156" s="1" t="n">
        <v>45112.6903125</v>
      </c>
      <c r="C1156" s="1" t="n">
        <v>45952</v>
      </c>
      <c r="D1156" t="inlineStr">
        <is>
          <t>ÖREBRO LÄN</t>
        </is>
      </c>
      <c r="E1156" t="inlineStr">
        <is>
          <t>LJUSNARSBERG</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8387-2022</t>
        </is>
      </c>
      <c r="B1157" s="1" t="n">
        <v>44610</v>
      </c>
      <c r="C1157" s="1" t="n">
        <v>45952</v>
      </c>
      <c r="D1157" t="inlineStr">
        <is>
          <t>ÖREBRO LÄN</t>
        </is>
      </c>
      <c r="E1157" t="inlineStr">
        <is>
          <t>HÄLLEFORS</t>
        </is>
      </c>
      <c r="F1157" t="inlineStr">
        <is>
          <t>Bergvik skog väst AB</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44282-2021</t>
        </is>
      </c>
      <c r="B1158" s="1" t="n">
        <v>44435.33862268519</v>
      </c>
      <c r="C1158" s="1" t="n">
        <v>45952</v>
      </c>
      <c r="D1158" t="inlineStr">
        <is>
          <t>ÖREBRO LÄN</t>
        </is>
      </c>
      <c r="E1158" t="inlineStr">
        <is>
          <t>LJUSNARSBERG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11161-2022</t>
        </is>
      </c>
      <c r="B1159" s="1" t="n">
        <v>44629</v>
      </c>
      <c r="C1159" s="1" t="n">
        <v>45952</v>
      </c>
      <c r="D1159" t="inlineStr">
        <is>
          <t>ÖREBRO LÄN</t>
        </is>
      </c>
      <c r="E1159" t="inlineStr">
        <is>
          <t>ASKERSUND</t>
        </is>
      </c>
      <c r="G1159" t="n">
        <v>0.2</v>
      </c>
      <c r="H1159" t="n">
        <v>0</v>
      </c>
      <c r="I1159" t="n">
        <v>0</v>
      </c>
      <c r="J1159" t="n">
        <v>0</v>
      </c>
      <c r="K1159" t="n">
        <v>0</v>
      </c>
      <c r="L1159" t="n">
        <v>0</v>
      </c>
      <c r="M1159" t="n">
        <v>0</v>
      </c>
      <c r="N1159" t="n">
        <v>0</v>
      </c>
      <c r="O1159" t="n">
        <v>0</v>
      </c>
      <c r="P1159" t="n">
        <v>0</v>
      </c>
      <c r="Q1159" t="n">
        <v>0</v>
      </c>
      <c r="R1159" s="2" t="inlineStr"/>
    </row>
    <row r="1160" ht="15" customHeight="1">
      <c r="A1160" t="inlineStr">
        <is>
          <t>A 46400-2021</t>
        </is>
      </c>
      <c r="B1160" s="1" t="n">
        <v>44443.7766550926</v>
      </c>
      <c r="C1160" s="1" t="n">
        <v>45952</v>
      </c>
      <c r="D1160" t="inlineStr">
        <is>
          <t>ÖREBRO LÄN</t>
        </is>
      </c>
      <c r="E1160" t="inlineStr">
        <is>
          <t>LEKEBERG</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41453-2021</t>
        </is>
      </c>
      <c r="B1161" s="1" t="n">
        <v>44424</v>
      </c>
      <c r="C1161" s="1" t="n">
        <v>45952</v>
      </c>
      <c r="D1161" t="inlineStr">
        <is>
          <t>ÖREBRO LÄN</t>
        </is>
      </c>
      <c r="E1161" t="inlineStr">
        <is>
          <t>LJUSNARSBERG</t>
        </is>
      </c>
      <c r="F1161" t="inlineStr">
        <is>
          <t>Bergvik skog väst AB</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25898-2021</t>
        </is>
      </c>
      <c r="B1162" s="1" t="n">
        <v>44344.39799768518</v>
      </c>
      <c r="C1162" s="1" t="n">
        <v>45952</v>
      </c>
      <c r="D1162" t="inlineStr">
        <is>
          <t>ÖREBRO LÄN</t>
        </is>
      </c>
      <c r="E1162" t="inlineStr">
        <is>
          <t>KARLSKOGA</t>
        </is>
      </c>
      <c r="F1162" t="inlineStr">
        <is>
          <t>Sveaskog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35594-2021</t>
        </is>
      </c>
      <c r="B1163" s="1" t="n">
        <v>44386</v>
      </c>
      <c r="C1163" s="1" t="n">
        <v>45952</v>
      </c>
      <c r="D1163" t="inlineStr">
        <is>
          <t>ÖREBRO LÄN</t>
        </is>
      </c>
      <c r="E1163" t="inlineStr">
        <is>
          <t>HÄLLEFORS</t>
        </is>
      </c>
      <c r="F1163" t="inlineStr">
        <is>
          <t>Bergvik skog väst AB</t>
        </is>
      </c>
      <c r="G1163" t="n">
        <v>0.2</v>
      </c>
      <c r="H1163" t="n">
        <v>0</v>
      </c>
      <c r="I1163" t="n">
        <v>0</v>
      </c>
      <c r="J1163" t="n">
        <v>0</v>
      </c>
      <c r="K1163" t="n">
        <v>0</v>
      </c>
      <c r="L1163" t="n">
        <v>0</v>
      </c>
      <c r="M1163" t="n">
        <v>0</v>
      </c>
      <c r="N1163" t="n">
        <v>0</v>
      </c>
      <c r="O1163" t="n">
        <v>0</v>
      </c>
      <c r="P1163" t="n">
        <v>0</v>
      </c>
      <c r="Q1163" t="n">
        <v>0</v>
      </c>
      <c r="R1163" s="2" t="inlineStr"/>
    </row>
    <row r="1164" ht="15" customHeight="1">
      <c r="A1164" t="inlineStr">
        <is>
          <t>A 4786-2022</t>
        </is>
      </c>
      <c r="B1164" s="1" t="n">
        <v>44592</v>
      </c>
      <c r="C1164" s="1" t="n">
        <v>45952</v>
      </c>
      <c r="D1164" t="inlineStr">
        <is>
          <t>ÖREBRO LÄN</t>
        </is>
      </c>
      <c r="E1164" t="inlineStr">
        <is>
          <t>ASKERSUND</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13190-2023</t>
        </is>
      </c>
      <c r="B1165" s="1" t="n">
        <v>45002</v>
      </c>
      <c r="C1165" s="1" t="n">
        <v>45952</v>
      </c>
      <c r="D1165" t="inlineStr">
        <is>
          <t>ÖREBRO LÄN</t>
        </is>
      </c>
      <c r="E1165" t="inlineStr">
        <is>
          <t>HALLSBERG</t>
        </is>
      </c>
      <c r="F1165" t="inlineStr">
        <is>
          <t>Allmännings- och besparingsskogar</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35605-2021</t>
        </is>
      </c>
      <c r="B1166" s="1" t="n">
        <v>44386.37886574074</v>
      </c>
      <c r="C1166" s="1" t="n">
        <v>45952</v>
      </c>
      <c r="D1166" t="inlineStr">
        <is>
          <t>ÖREBRO LÄN</t>
        </is>
      </c>
      <c r="E1166" t="inlineStr">
        <is>
          <t>NORA</t>
        </is>
      </c>
      <c r="F1166" t="inlineStr">
        <is>
          <t>Sveaskog</t>
        </is>
      </c>
      <c r="G1166" t="n">
        <v>3.7</v>
      </c>
      <c r="H1166" t="n">
        <v>0</v>
      </c>
      <c r="I1166" t="n">
        <v>0</v>
      </c>
      <c r="J1166" t="n">
        <v>0</v>
      </c>
      <c r="K1166" t="n">
        <v>0</v>
      </c>
      <c r="L1166" t="n">
        <v>0</v>
      </c>
      <c r="M1166" t="n">
        <v>0</v>
      </c>
      <c r="N1166" t="n">
        <v>0</v>
      </c>
      <c r="O1166" t="n">
        <v>0</v>
      </c>
      <c r="P1166" t="n">
        <v>0</v>
      </c>
      <c r="Q1166" t="n">
        <v>0</v>
      </c>
      <c r="R1166" s="2" t="inlineStr"/>
    </row>
    <row r="1167" ht="15" customHeight="1">
      <c r="A1167" t="inlineStr">
        <is>
          <t>A 829-2021</t>
        </is>
      </c>
      <c r="B1167" s="1" t="n">
        <v>44204</v>
      </c>
      <c r="C1167" s="1" t="n">
        <v>45952</v>
      </c>
      <c r="D1167" t="inlineStr">
        <is>
          <t>ÖREBRO LÄN</t>
        </is>
      </c>
      <c r="E1167" t="inlineStr">
        <is>
          <t>ASKERSUND</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29857-2023</t>
        </is>
      </c>
      <c r="B1168" s="1" t="n">
        <v>45107</v>
      </c>
      <c r="C1168" s="1" t="n">
        <v>45952</v>
      </c>
      <c r="D1168" t="inlineStr">
        <is>
          <t>ÖREBRO LÄN</t>
        </is>
      </c>
      <c r="E1168" t="inlineStr">
        <is>
          <t>LINDESBERG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13997-2022</t>
        </is>
      </c>
      <c r="B1169" s="1" t="n">
        <v>44650</v>
      </c>
      <c r="C1169" s="1" t="n">
        <v>45952</v>
      </c>
      <c r="D1169" t="inlineStr">
        <is>
          <t>ÖREBRO LÄN</t>
        </is>
      </c>
      <c r="E1169" t="inlineStr">
        <is>
          <t>ASKERSUND</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33707-2021</t>
        </is>
      </c>
      <c r="B1170" s="1" t="n">
        <v>44378.46403935185</v>
      </c>
      <c r="C1170" s="1" t="n">
        <v>45952</v>
      </c>
      <c r="D1170" t="inlineStr">
        <is>
          <t>ÖREBRO LÄN</t>
        </is>
      </c>
      <c r="E1170" t="inlineStr">
        <is>
          <t>LINDESBERG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37783-2022</t>
        </is>
      </c>
      <c r="B1171" s="1" t="n">
        <v>44810.66189814815</v>
      </c>
      <c r="C1171" s="1" t="n">
        <v>45952</v>
      </c>
      <c r="D1171" t="inlineStr">
        <is>
          <t>ÖREBRO LÄN</t>
        </is>
      </c>
      <c r="E1171" t="inlineStr">
        <is>
          <t>HÄLLEFORS</t>
        </is>
      </c>
      <c r="G1171" t="n">
        <v>14.1</v>
      </c>
      <c r="H1171" t="n">
        <v>0</v>
      </c>
      <c r="I1171" t="n">
        <v>0</v>
      </c>
      <c r="J1171" t="n">
        <v>0</v>
      </c>
      <c r="K1171" t="n">
        <v>0</v>
      </c>
      <c r="L1171" t="n">
        <v>0</v>
      </c>
      <c r="M1171" t="n">
        <v>0</v>
      </c>
      <c r="N1171" t="n">
        <v>0</v>
      </c>
      <c r="O1171" t="n">
        <v>0</v>
      </c>
      <c r="P1171" t="n">
        <v>0</v>
      </c>
      <c r="Q1171" t="n">
        <v>0</v>
      </c>
      <c r="R1171" s="2" t="inlineStr"/>
    </row>
    <row r="1172" ht="15" customHeight="1">
      <c r="A1172" t="inlineStr">
        <is>
          <t>A 30760-2022</t>
        </is>
      </c>
      <c r="B1172" s="1" t="n">
        <v>44764.51827546296</v>
      </c>
      <c r="C1172" s="1" t="n">
        <v>45952</v>
      </c>
      <c r="D1172" t="inlineStr">
        <is>
          <t>ÖREBRO LÄN</t>
        </is>
      </c>
      <c r="E1172" t="inlineStr">
        <is>
          <t>ÖREBRO</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11635-2024</t>
        </is>
      </c>
      <c r="B1173" s="1" t="n">
        <v>45373</v>
      </c>
      <c r="C1173" s="1" t="n">
        <v>45952</v>
      </c>
      <c r="D1173" t="inlineStr">
        <is>
          <t>ÖREBRO LÄN</t>
        </is>
      </c>
      <c r="E1173" t="inlineStr">
        <is>
          <t>ASKERSUND</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57438-2020</t>
        </is>
      </c>
      <c r="B1174" s="1" t="n">
        <v>44139</v>
      </c>
      <c r="C1174" s="1" t="n">
        <v>45952</v>
      </c>
      <c r="D1174" t="inlineStr">
        <is>
          <t>ÖREBRO LÄN</t>
        </is>
      </c>
      <c r="E1174" t="inlineStr">
        <is>
          <t>NORA</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48363-2021</t>
        </is>
      </c>
      <c r="B1175" s="1" t="n">
        <v>44451</v>
      </c>
      <c r="C1175" s="1" t="n">
        <v>45952</v>
      </c>
      <c r="D1175" t="inlineStr">
        <is>
          <t>ÖREBRO LÄN</t>
        </is>
      </c>
      <c r="E1175" t="inlineStr">
        <is>
          <t>LINDESBERG</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29490-2022</t>
        </is>
      </c>
      <c r="B1176" s="1" t="n">
        <v>44753</v>
      </c>
      <c r="C1176" s="1" t="n">
        <v>45952</v>
      </c>
      <c r="D1176" t="inlineStr">
        <is>
          <t>ÖREBRO LÄN</t>
        </is>
      </c>
      <c r="E1176" t="inlineStr">
        <is>
          <t>ÖREBRO</t>
        </is>
      </c>
      <c r="F1176" t="inlineStr">
        <is>
          <t>Kommuner</t>
        </is>
      </c>
      <c r="G1176" t="n">
        <v>0.3</v>
      </c>
      <c r="H1176" t="n">
        <v>0</v>
      </c>
      <c r="I1176" t="n">
        <v>0</v>
      </c>
      <c r="J1176" t="n">
        <v>0</v>
      </c>
      <c r="K1176" t="n">
        <v>0</v>
      </c>
      <c r="L1176" t="n">
        <v>0</v>
      </c>
      <c r="M1176" t="n">
        <v>0</v>
      </c>
      <c r="N1176" t="n">
        <v>0</v>
      </c>
      <c r="O1176" t="n">
        <v>0</v>
      </c>
      <c r="P1176" t="n">
        <v>0</v>
      </c>
      <c r="Q1176" t="n">
        <v>0</v>
      </c>
      <c r="R1176" s="2" t="inlineStr"/>
    </row>
    <row r="1177" ht="15" customHeight="1">
      <c r="A1177" t="inlineStr">
        <is>
          <t>A 62651-2020</t>
        </is>
      </c>
      <c r="B1177" s="1" t="n">
        <v>44161</v>
      </c>
      <c r="C1177" s="1" t="n">
        <v>45952</v>
      </c>
      <c r="D1177" t="inlineStr">
        <is>
          <t>ÖREBRO LÄN</t>
        </is>
      </c>
      <c r="E1177" t="inlineStr">
        <is>
          <t>ÖREBRO</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7704-2022</t>
        </is>
      </c>
      <c r="B1178" s="1" t="n">
        <v>44608</v>
      </c>
      <c r="C1178" s="1" t="n">
        <v>45952</v>
      </c>
      <c r="D1178" t="inlineStr">
        <is>
          <t>ÖREBRO LÄN</t>
        </is>
      </c>
      <c r="E1178" t="inlineStr">
        <is>
          <t>ASKERSUND</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7713-2022</t>
        </is>
      </c>
      <c r="B1179" s="1" t="n">
        <v>44608.32383101852</v>
      </c>
      <c r="C1179" s="1" t="n">
        <v>45952</v>
      </c>
      <c r="D1179" t="inlineStr">
        <is>
          <t>ÖREBRO LÄN</t>
        </is>
      </c>
      <c r="E1179" t="inlineStr">
        <is>
          <t>ASKERSUND</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7730-2022</t>
        </is>
      </c>
      <c r="B1180" s="1" t="n">
        <v>44608</v>
      </c>
      <c r="C1180" s="1" t="n">
        <v>45952</v>
      </c>
      <c r="D1180" t="inlineStr">
        <is>
          <t>ÖREBRO LÄN</t>
        </is>
      </c>
      <c r="E1180" t="inlineStr">
        <is>
          <t>ASKERSUND</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35739-2024</t>
        </is>
      </c>
      <c r="B1181" s="1" t="n">
        <v>45532</v>
      </c>
      <c r="C1181" s="1" t="n">
        <v>45952</v>
      </c>
      <c r="D1181" t="inlineStr">
        <is>
          <t>ÖREBRO LÄN</t>
        </is>
      </c>
      <c r="E1181" t="inlineStr">
        <is>
          <t>LINDESBERG</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58208-2020</t>
        </is>
      </c>
      <c r="B1182" s="1" t="n">
        <v>44144</v>
      </c>
      <c r="C1182" s="1" t="n">
        <v>45952</v>
      </c>
      <c r="D1182" t="inlineStr">
        <is>
          <t>ÖREBRO LÄN</t>
        </is>
      </c>
      <c r="E1182" t="inlineStr">
        <is>
          <t>HALLSBERG</t>
        </is>
      </c>
      <c r="G1182" t="n">
        <v>2.3</v>
      </c>
      <c r="H1182" t="n">
        <v>0</v>
      </c>
      <c r="I1182" t="n">
        <v>0</v>
      </c>
      <c r="J1182" t="n">
        <v>0</v>
      </c>
      <c r="K1182" t="n">
        <v>0</v>
      </c>
      <c r="L1182" t="n">
        <v>0</v>
      </c>
      <c r="M1182" t="n">
        <v>0</v>
      </c>
      <c r="N1182" t="n">
        <v>0</v>
      </c>
      <c r="O1182" t="n">
        <v>0</v>
      </c>
      <c r="P1182" t="n">
        <v>0</v>
      </c>
      <c r="Q1182" t="n">
        <v>0</v>
      </c>
      <c r="R1182" s="2" t="inlineStr"/>
    </row>
    <row r="1183" ht="15" customHeight="1">
      <c r="A1183" t="inlineStr">
        <is>
          <t>A 35730-2022</t>
        </is>
      </c>
      <c r="B1183" s="1" t="n">
        <v>44799</v>
      </c>
      <c r="C1183" s="1" t="n">
        <v>45952</v>
      </c>
      <c r="D1183" t="inlineStr">
        <is>
          <t>ÖREBRO LÄN</t>
        </is>
      </c>
      <c r="E1183" t="inlineStr">
        <is>
          <t>NORA</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35731-2022</t>
        </is>
      </c>
      <c r="B1184" s="1" t="n">
        <v>44799.73486111111</v>
      </c>
      <c r="C1184" s="1" t="n">
        <v>45952</v>
      </c>
      <c r="D1184" t="inlineStr">
        <is>
          <t>ÖREBRO LÄN</t>
        </is>
      </c>
      <c r="E1184" t="inlineStr">
        <is>
          <t>NORA</t>
        </is>
      </c>
      <c r="F1184" t="inlineStr">
        <is>
          <t>Sveaskog</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14345-2022</t>
        </is>
      </c>
      <c r="B1185" s="1" t="n">
        <v>44651</v>
      </c>
      <c r="C1185" s="1" t="n">
        <v>45952</v>
      </c>
      <c r="D1185" t="inlineStr">
        <is>
          <t>ÖREBRO LÄN</t>
        </is>
      </c>
      <c r="E1185" t="inlineStr">
        <is>
          <t>HALLSBERG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66151-2020</t>
        </is>
      </c>
      <c r="B1186" s="1" t="n">
        <v>44175</v>
      </c>
      <c r="C1186" s="1" t="n">
        <v>45952</v>
      </c>
      <c r="D1186" t="inlineStr">
        <is>
          <t>ÖREBRO LÄN</t>
        </is>
      </c>
      <c r="E1186" t="inlineStr">
        <is>
          <t>HÄLLEFORS</t>
        </is>
      </c>
      <c r="F1186" t="inlineStr">
        <is>
          <t>Bergvik skog väst AB</t>
        </is>
      </c>
      <c r="G1186" t="n">
        <v>12.2</v>
      </c>
      <c r="H1186" t="n">
        <v>0</v>
      </c>
      <c r="I1186" t="n">
        <v>0</v>
      </c>
      <c r="J1186" t="n">
        <v>0</v>
      </c>
      <c r="K1186" t="n">
        <v>0</v>
      </c>
      <c r="L1186" t="n">
        <v>0</v>
      </c>
      <c r="M1186" t="n">
        <v>0</v>
      </c>
      <c r="N1186" t="n">
        <v>0</v>
      </c>
      <c r="O1186" t="n">
        <v>0</v>
      </c>
      <c r="P1186" t="n">
        <v>0</v>
      </c>
      <c r="Q1186" t="n">
        <v>0</v>
      </c>
      <c r="R1186" s="2" t="inlineStr"/>
    </row>
    <row r="1187" ht="15" customHeight="1">
      <c r="A1187" t="inlineStr">
        <is>
          <t>A 7105-2021</t>
        </is>
      </c>
      <c r="B1187" s="1" t="n">
        <v>44238</v>
      </c>
      <c r="C1187" s="1" t="n">
        <v>45952</v>
      </c>
      <c r="D1187" t="inlineStr">
        <is>
          <t>ÖREBRO LÄN</t>
        </is>
      </c>
      <c r="E1187" t="inlineStr">
        <is>
          <t>LEKEBERG</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52153-2022</t>
        </is>
      </c>
      <c r="B1188" s="1" t="n">
        <v>44873.47148148148</v>
      </c>
      <c r="C1188" s="1" t="n">
        <v>45952</v>
      </c>
      <c r="D1188" t="inlineStr">
        <is>
          <t>ÖREBRO LÄN</t>
        </is>
      </c>
      <c r="E1188" t="inlineStr">
        <is>
          <t>LINDESBERG</t>
        </is>
      </c>
      <c r="F1188" t="inlineStr">
        <is>
          <t>Sveaskog</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8213-2023</t>
        </is>
      </c>
      <c r="B1189" s="1" t="n">
        <v>44974.55693287037</v>
      </c>
      <c r="C1189" s="1" t="n">
        <v>45952</v>
      </c>
      <c r="D1189" t="inlineStr">
        <is>
          <t>ÖREBRO LÄN</t>
        </is>
      </c>
      <c r="E1189" t="inlineStr">
        <is>
          <t>LINDESBERG</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18047-2022</t>
        </is>
      </c>
      <c r="B1190" s="1" t="n">
        <v>44684</v>
      </c>
      <c r="C1190" s="1" t="n">
        <v>45952</v>
      </c>
      <c r="D1190" t="inlineStr">
        <is>
          <t>ÖREBRO LÄN</t>
        </is>
      </c>
      <c r="E1190" t="inlineStr">
        <is>
          <t>ÖREBRO</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59736-2023</t>
        </is>
      </c>
      <c r="B1191" s="1" t="n">
        <v>45257.374375</v>
      </c>
      <c r="C1191" s="1" t="n">
        <v>45952</v>
      </c>
      <c r="D1191" t="inlineStr">
        <is>
          <t>ÖREBRO LÄN</t>
        </is>
      </c>
      <c r="E1191" t="inlineStr">
        <is>
          <t>ÖREBRO</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37393-2021</t>
        </is>
      </c>
      <c r="B1192" s="1" t="n">
        <v>44398</v>
      </c>
      <c r="C1192" s="1" t="n">
        <v>45952</v>
      </c>
      <c r="D1192" t="inlineStr">
        <is>
          <t>ÖREBRO LÄN</t>
        </is>
      </c>
      <c r="E1192" t="inlineStr">
        <is>
          <t>ASKERSUND</t>
        </is>
      </c>
      <c r="G1192" t="n">
        <v>6.2</v>
      </c>
      <c r="H1192" t="n">
        <v>0</v>
      </c>
      <c r="I1192" t="n">
        <v>0</v>
      </c>
      <c r="J1192" t="n">
        <v>0</v>
      </c>
      <c r="K1192" t="n">
        <v>0</v>
      </c>
      <c r="L1192" t="n">
        <v>0</v>
      </c>
      <c r="M1192" t="n">
        <v>0</v>
      </c>
      <c r="N1192" t="n">
        <v>0</v>
      </c>
      <c r="O1192" t="n">
        <v>0</v>
      </c>
      <c r="P1192" t="n">
        <v>0</v>
      </c>
      <c r="Q1192" t="n">
        <v>0</v>
      </c>
      <c r="R1192" s="2" t="inlineStr"/>
    </row>
    <row r="1193" ht="15" customHeight="1">
      <c r="A1193" t="inlineStr">
        <is>
          <t>A 37395-2021</t>
        </is>
      </c>
      <c r="B1193" s="1" t="n">
        <v>44398</v>
      </c>
      <c r="C1193" s="1" t="n">
        <v>45952</v>
      </c>
      <c r="D1193" t="inlineStr">
        <is>
          <t>ÖREBRO LÄN</t>
        </is>
      </c>
      <c r="E1193" t="inlineStr">
        <is>
          <t>ÖREBRO</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38613-2023</t>
        </is>
      </c>
      <c r="B1194" s="1" t="n">
        <v>45160</v>
      </c>
      <c r="C1194" s="1" t="n">
        <v>45952</v>
      </c>
      <c r="D1194" t="inlineStr">
        <is>
          <t>ÖREBRO LÄN</t>
        </is>
      </c>
      <c r="E1194" t="inlineStr">
        <is>
          <t>LAXÅ</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38624-2023</t>
        </is>
      </c>
      <c r="B1195" s="1" t="n">
        <v>45162</v>
      </c>
      <c r="C1195" s="1" t="n">
        <v>45952</v>
      </c>
      <c r="D1195" t="inlineStr">
        <is>
          <t>ÖREBRO LÄN</t>
        </is>
      </c>
      <c r="E1195" t="inlineStr">
        <is>
          <t>ASKERSUND</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2153-2023</t>
        </is>
      </c>
      <c r="B1196" s="1" t="n">
        <v>44941</v>
      </c>
      <c r="C1196" s="1" t="n">
        <v>45952</v>
      </c>
      <c r="D1196" t="inlineStr">
        <is>
          <t>ÖREBRO LÄN</t>
        </is>
      </c>
      <c r="E1196" t="inlineStr">
        <is>
          <t>ÖREBRO</t>
        </is>
      </c>
      <c r="G1196" t="n">
        <v>6.3</v>
      </c>
      <c r="H1196" t="n">
        <v>0</v>
      </c>
      <c r="I1196" t="n">
        <v>0</v>
      </c>
      <c r="J1196" t="n">
        <v>0</v>
      </c>
      <c r="K1196" t="n">
        <v>0</v>
      </c>
      <c r="L1196" t="n">
        <v>0</v>
      </c>
      <c r="M1196" t="n">
        <v>0</v>
      </c>
      <c r="N1196" t="n">
        <v>0</v>
      </c>
      <c r="O1196" t="n">
        <v>0</v>
      </c>
      <c r="P1196" t="n">
        <v>0</v>
      </c>
      <c r="Q1196" t="n">
        <v>0</v>
      </c>
      <c r="R1196" s="2" t="inlineStr"/>
    </row>
    <row r="1197" ht="15" customHeight="1">
      <c r="A1197" t="inlineStr">
        <is>
          <t>A 16618-2023</t>
        </is>
      </c>
      <c r="B1197" s="1" t="n">
        <v>45030</v>
      </c>
      <c r="C1197" s="1" t="n">
        <v>45952</v>
      </c>
      <c r="D1197" t="inlineStr">
        <is>
          <t>ÖREBRO LÄN</t>
        </is>
      </c>
      <c r="E1197" t="inlineStr">
        <is>
          <t>LINDESBERG</t>
        </is>
      </c>
      <c r="F1197" t="inlineStr">
        <is>
          <t>Kommuner</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36220-2021</t>
        </is>
      </c>
      <c r="B1198" s="1" t="n">
        <v>44389</v>
      </c>
      <c r="C1198" s="1" t="n">
        <v>45952</v>
      </c>
      <c r="D1198" t="inlineStr">
        <is>
          <t>ÖREBRO LÄN</t>
        </is>
      </c>
      <c r="E1198" t="inlineStr">
        <is>
          <t>LINDESBERG</t>
        </is>
      </c>
      <c r="G1198" t="n">
        <v>8.699999999999999</v>
      </c>
      <c r="H1198" t="n">
        <v>0</v>
      </c>
      <c r="I1198" t="n">
        <v>0</v>
      </c>
      <c r="J1198" t="n">
        <v>0</v>
      </c>
      <c r="K1198" t="n">
        <v>0</v>
      </c>
      <c r="L1198" t="n">
        <v>0</v>
      </c>
      <c r="M1198" t="n">
        <v>0</v>
      </c>
      <c r="N1198" t="n">
        <v>0</v>
      </c>
      <c r="O1198" t="n">
        <v>0</v>
      </c>
      <c r="P1198" t="n">
        <v>0</v>
      </c>
      <c r="Q1198" t="n">
        <v>0</v>
      </c>
      <c r="R1198" s="2" t="inlineStr"/>
    </row>
    <row r="1199" ht="15" customHeight="1">
      <c r="A1199" t="inlineStr">
        <is>
          <t>A 8158-2021</t>
        </is>
      </c>
      <c r="B1199" s="1" t="n">
        <v>44244</v>
      </c>
      <c r="C1199" s="1" t="n">
        <v>45952</v>
      </c>
      <c r="D1199" t="inlineStr">
        <is>
          <t>ÖREBRO LÄN</t>
        </is>
      </c>
      <c r="E1199" t="inlineStr">
        <is>
          <t>ASKERSUND</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30145-2022</t>
        </is>
      </c>
      <c r="B1200" s="1" t="n">
        <v>44757.49012731481</v>
      </c>
      <c r="C1200" s="1" t="n">
        <v>45952</v>
      </c>
      <c r="D1200" t="inlineStr">
        <is>
          <t>ÖREBRO LÄN</t>
        </is>
      </c>
      <c r="E1200" t="inlineStr">
        <is>
          <t>HALLSBERG</t>
        </is>
      </c>
      <c r="F1200" t="inlineStr">
        <is>
          <t>Sveaskog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47788-2021</t>
        </is>
      </c>
      <c r="B1201" s="1" t="n">
        <v>44448</v>
      </c>
      <c r="C1201" s="1" t="n">
        <v>45952</v>
      </c>
      <c r="D1201" t="inlineStr">
        <is>
          <t>ÖREBRO LÄN</t>
        </is>
      </c>
      <c r="E1201" t="inlineStr">
        <is>
          <t>NORA</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61492-2022</t>
        </is>
      </c>
      <c r="B1202" s="1" t="n">
        <v>44916.47408564815</v>
      </c>
      <c r="C1202" s="1" t="n">
        <v>45952</v>
      </c>
      <c r="D1202" t="inlineStr">
        <is>
          <t>ÖREBRO LÄN</t>
        </is>
      </c>
      <c r="E1202" t="inlineStr">
        <is>
          <t>LEKEBERG</t>
        </is>
      </c>
      <c r="G1202" t="n">
        <v>5.9</v>
      </c>
      <c r="H1202" t="n">
        <v>0</v>
      </c>
      <c r="I1202" t="n">
        <v>0</v>
      </c>
      <c r="J1202" t="n">
        <v>0</v>
      </c>
      <c r="K1202" t="n">
        <v>0</v>
      </c>
      <c r="L1202" t="n">
        <v>0</v>
      </c>
      <c r="M1202" t="n">
        <v>0</v>
      </c>
      <c r="N1202" t="n">
        <v>0</v>
      </c>
      <c r="O1202" t="n">
        <v>0</v>
      </c>
      <c r="P1202" t="n">
        <v>0</v>
      </c>
      <c r="Q1202" t="n">
        <v>0</v>
      </c>
      <c r="R1202" s="2" t="inlineStr"/>
    </row>
    <row r="1203" ht="15" customHeight="1">
      <c r="A1203" t="inlineStr">
        <is>
          <t>A 10829-2023</t>
        </is>
      </c>
      <c r="B1203" s="1" t="n">
        <v>44990.88512731482</v>
      </c>
      <c r="C1203" s="1" t="n">
        <v>45952</v>
      </c>
      <c r="D1203" t="inlineStr">
        <is>
          <t>ÖREBRO LÄN</t>
        </is>
      </c>
      <c r="E1203" t="inlineStr">
        <is>
          <t>ÖREBRO</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10831-2023</t>
        </is>
      </c>
      <c r="B1204" s="1" t="n">
        <v>44990.90357638889</v>
      </c>
      <c r="C1204" s="1" t="n">
        <v>45952</v>
      </c>
      <c r="D1204" t="inlineStr">
        <is>
          <t>ÖREBRO LÄN</t>
        </is>
      </c>
      <c r="E1204" t="inlineStr">
        <is>
          <t>ÖREBRO</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15752-2024</t>
        </is>
      </c>
      <c r="B1205" s="1" t="n">
        <v>45404.55681712963</v>
      </c>
      <c r="C1205" s="1" t="n">
        <v>45952</v>
      </c>
      <c r="D1205" t="inlineStr">
        <is>
          <t>ÖREBRO LÄN</t>
        </is>
      </c>
      <c r="E1205" t="inlineStr">
        <is>
          <t>LINDESBERG</t>
        </is>
      </c>
      <c r="F1205" t="inlineStr">
        <is>
          <t>Sveaskog</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57959-2021</t>
        </is>
      </c>
      <c r="B1206" s="1" t="n">
        <v>44484</v>
      </c>
      <c r="C1206" s="1" t="n">
        <v>45952</v>
      </c>
      <c r="D1206" t="inlineStr">
        <is>
          <t>ÖREBRO LÄN</t>
        </is>
      </c>
      <c r="E1206" t="inlineStr">
        <is>
          <t>LAXÅ</t>
        </is>
      </c>
      <c r="G1206" t="n">
        <v>5.3</v>
      </c>
      <c r="H1206" t="n">
        <v>0</v>
      </c>
      <c r="I1206" t="n">
        <v>0</v>
      </c>
      <c r="J1206" t="n">
        <v>0</v>
      </c>
      <c r="K1206" t="n">
        <v>0</v>
      </c>
      <c r="L1206" t="n">
        <v>0</v>
      </c>
      <c r="M1206" t="n">
        <v>0</v>
      </c>
      <c r="N1206" t="n">
        <v>0</v>
      </c>
      <c r="O1206" t="n">
        <v>0</v>
      </c>
      <c r="P1206" t="n">
        <v>0</v>
      </c>
      <c r="Q1206" t="n">
        <v>0</v>
      </c>
      <c r="R1206" s="2" t="inlineStr"/>
    </row>
    <row r="1207" ht="15" customHeight="1">
      <c r="A1207" t="inlineStr">
        <is>
          <t>A 21801-2022</t>
        </is>
      </c>
      <c r="B1207" s="1" t="n">
        <v>44708.64967592592</v>
      </c>
      <c r="C1207" s="1" t="n">
        <v>45952</v>
      </c>
      <c r="D1207" t="inlineStr">
        <is>
          <t>ÖREBRO LÄN</t>
        </is>
      </c>
      <c r="E1207" t="inlineStr">
        <is>
          <t>HÄLLEFORS</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57361-2020</t>
        </is>
      </c>
      <c r="B1208" s="1" t="n">
        <v>44139</v>
      </c>
      <c r="C1208" s="1" t="n">
        <v>45952</v>
      </c>
      <c r="D1208" t="inlineStr">
        <is>
          <t>ÖREBRO LÄN</t>
        </is>
      </c>
      <c r="E1208" t="inlineStr">
        <is>
          <t>LAXÅ</t>
        </is>
      </c>
      <c r="G1208" t="n">
        <v>0.3</v>
      </c>
      <c r="H1208" t="n">
        <v>0</v>
      </c>
      <c r="I1208" t="n">
        <v>0</v>
      </c>
      <c r="J1208" t="n">
        <v>0</v>
      </c>
      <c r="K1208" t="n">
        <v>0</v>
      </c>
      <c r="L1208" t="n">
        <v>0</v>
      </c>
      <c r="M1208" t="n">
        <v>0</v>
      </c>
      <c r="N1208" t="n">
        <v>0</v>
      </c>
      <c r="O1208" t="n">
        <v>0</v>
      </c>
      <c r="P1208" t="n">
        <v>0</v>
      </c>
      <c r="Q1208" t="n">
        <v>0</v>
      </c>
      <c r="R1208" s="2" t="inlineStr"/>
    </row>
    <row r="1209" ht="15" customHeight="1">
      <c r="A1209" t="inlineStr">
        <is>
          <t>A 66936-2021</t>
        </is>
      </c>
      <c r="B1209" s="1" t="n">
        <v>44522.56349537037</v>
      </c>
      <c r="C1209" s="1" t="n">
        <v>45952</v>
      </c>
      <c r="D1209" t="inlineStr">
        <is>
          <t>ÖREBRO LÄN</t>
        </is>
      </c>
      <c r="E1209" t="inlineStr">
        <is>
          <t>ÖREBRO</t>
        </is>
      </c>
      <c r="G1209" t="n">
        <v>6.8</v>
      </c>
      <c r="H1209" t="n">
        <v>0</v>
      </c>
      <c r="I1209" t="n">
        <v>0</v>
      </c>
      <c r="J1209" t="n">
        <v>0</v>
      </c>
      <c r="K1209" t="n">
        <v>0</v>
      </c>
      <c r="L1209" t="n">
        <v>0</v>
      </c>
      <c r="M1209" t="n">
        <v>0</v>
      </c>
      <c r="N1209" t="n">
        <v>0</v>
      </c>
      <c r="O1209" t="n">
        <v>0</v>
      </c>
      <c r="P1209" t="n">
        <v>0</v>
      </c>
      <c r="Q1209" t="n">
        <v>0</v>
      </c>
      <c r="R1209" s="2" t="inlineStr"/>
    </row>
    <row r="1210" ht="15" customHeight="1">
      <c r="A1210" t="inlineStr">
        <is>
          <t>A 44131-2022</t>
        </is>
      </c>
      <c r="B1210" s="1" t="n">
        <v>44839</v>
      </c>
      <c r="C1210" s="1" t="n">
        <v>45952</v>
      </c>
      <c r="D1210" t="inlineStr">
        <is>
          <t>ÖREBRO LÄN</t>
        </is>
      </c>
      <c r="E1210" t="inlineStr">
        <is>
          <t>ÖREBRO</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44216-2022</t>
        </is>
      </c>
      <c r="B1211" s="1" t="n">
        <v>44839.49916666667</v>
      </c>
      <c r="C1211" s="1" t="n">
        <v>45952</v>
      </c>
      <c r="D1211" t="inlineStr">
        <is>
          <t>ÖREBRO LÄN</t>
        </is>
      </c>
      <c r="E1211" t="inlineStr">
        <is>
          <t>HALLSBERG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52457-2021</t>
        </is>
      </c>
      <c r="B1212" s="1" t="n">
        <v>44466.38188657408</v>
      </c>
      <c r="C1212" s="1" t="n">
        <v>45952</v>
      </c>
      <c r="D1212" t="inlineStr">
        <is>
          <t>ÖREBRO LÄN</t>
        </is>
      </c>
      <c r="E1212" t="inlineStr">
        <is>
          <t>DEGERFORS</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4587-2023</t>
        </is>
      </c>
      <c r="B1213" s="1" t="n">
        <v>44956.8174537037</v>
      </c>
      <c r="C1213" s="1" t="n">
        <v>45952</v>
      </c>
      <c r="D1213" t="inlineStr">
        <is>
          <t>ÖREBRO LÄN</t>
        </is>
      </c>
      <c r="E1213" t="inlineStr">
        <is>
          <t>HALLSBERG</t>
        </is>
      </c>
      <c r="F1213" t="inlineStr">
        <is>
          <t>Sveaskog</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21612-2022</t>
        </is>
      </c>
      <c r="B1214" s="1" t="n">
        <v>44706.67246527778</v>
      </c>
      <c r="C1214" s="1" t="n">
        <v>45952</v>
      </c>
      <c r="D1214" t="inlineStr">
        <is>
          <t>ÖREBRO LÄN</t>
        </is>
      </c>
      <c r="E1214" t="inlineStr">
        <is>
          <t>KARLSKOGA</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21622-2022</t>
        </is>
      </c>
      <c r="B1215" s="1" t="n">
        <v>44706.68547453704</v>
      </c>
      <c r="C1215" s="1" t="n">
        <v>45952</v>
      </c>
      <c r="D1215" t="inlineStr">
        <is>
          <t>ÖREBRO LÄN</t>
        </is>
      </c>
      <c r="E1215" t="inlineStr">
        <is>
          <t>KARLSKOGA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59590-2021</t>
        </is>
      </c>
      <c r="B1216" s="1" t="n">
        <v>44491</v>
      </c>
      <c r="C1216" s="1" t="n">
        <v>45952</v>
      </c>
      <c r="D1216" t="inlineStr">
        <is>
          <t>ÖREBRO LÄN</t>
        </is>
      </c>
      <c r="E1216" t="inlineStr">
        <is>
          <t>NORA</t>
        </is>
      </c>
      <c r="F1216" t="inlineStr">
        <is>
          <t>Kyrkan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53046-2024</t>
        </is>
      </c>
      <c r="B1217" s="1" t="n">
        <v>45611.44960648148</v>
      </c>
      <c r="C1217" s="1" t="n">
        <v>45952</v>
      </c>
      <c r="D1217" t="inlineStr">
        <is>
          <t>ÖREBRO LÄN</t>
        </is>
      </c>
      <c r="E1217" t="inlineStr">
        <is>
          <t>LINDESBERG</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23641-2024</t>
        </is>
      </c>
      <c r="B1218" s="1" t="n">
        <v>45454.49679398148</v>
      </c>
      <c r="C1218" s="1" t="n">
        <v>45952</v>
      </c>
      <c r="D1218" t="inlineStr">
        <is>
          <t>ÖREBRO LÄN</t>
        </is>
      </c>
      <c r="E1218" t="inlineStr">
        <is>
          <t>LINDESBERG</t>
        </is>
      </c>
      <c r="G1218" t="n">
        <v>9.199999999999999</v>
      </c>
      <c r="H1218" t="n">
        <v>0</v>
      </c>
      <c r="I1218" t="n">
        <v>0</v>
      </c>
      <c r="J1218" t="n">
        <v>0</v>
      </c>
      <c r="K1218" t="n">
        <v>0</v>
      </c>
      <c r="L1218" t="n">
        <v>0</v>
      </c>
      <c r="M1218" t="n">
        <v>0</v>
      </c>
      <c r="N1218" t="n">
        <v>0</v>
      </c>
      <c r="O1218" t="n">
        <v>0</v>
      </c>
      <c r="P1218" t="n">
        <v>0</v>
      </c>
      <c r="Q1218" t="n">
        <v>0</v>
      </c>
      <c r="R1218" s="2" t="inlineStr"/>
    </row>
    <row r="1219" ht="15" customHeight="1">
      <c r="A1219" t="inlineStr">
        <is>
          <t>A 43254-2022</t>
        </is>
      </c>
      <c r="B1219" s="1" t="n">
        <v>44834</v>
      </c>
      <c r="C1219" s="1" t="n">
        <v>45952</v>
      </c>
      <c r="D1219" t="inlineStr">
        <is>
          <t>ÖREBRO LÄN</t>
        </is>
      </c>
      <c r="E1219" t="inlineStr">
        <is>
          <t>NORA</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23807-2023</t>
        </is>
      </c>
      <c r="B1220" s="1" t="n">
        <v>45078</v>
      </c>
      <c r="C1220" s="1" t="n">
        <v>45952</v>
      </c>
      <c r="D1220" t="inlineStr">
        <is>
          <t>ÖREBRO LÄN</t>
        </is>
      </c>
      <c r="E1220" t="inlineStr">
        <is>
          <t>ASKERSUND</t>
        </is>
      </c>
      <c r="G1220" t="n">
        <v>3.4</v>
      </c>
      <c r="H1220" t="n">
        <v>0</v>
      </c>
      <c r="I1220" t="n">
        <v>0</v>
      </c>
      <c r="J1220" t="n">
        <v>0</v>
      </c>
      <c r="K1220" t="n">
        <v>0</v>
      </c>
      <c r="L1220" t="n">
        <v>0</v>
      </c>
      <c r="M1220" t="n">
        <v>0</v>
      </c>
      <c r="N1220" t="n">
        <v>0</v>
      </c>
      <c r="O1220" t="n">
        <v>0</v>
      </c>
      <c r="P1220" t="n">
        <v>0</v>
      </c>
      <c r="Q1220" t="n">
        <v>0</v>
      </c>
      <c r="R1220" s="2" t="inlineStr"/>
    </row>
    <row r="1221" ht="15" customHeight="1">
      <c r="A1221" t="inlineStr">
        <is>
          <t>A 48707-2024</t>
        </is>
      </c>
      <c r="B1221" s="1" t="n">
        <v>45593.53480324074</v>
      </c>
      <c r="C1221" s="1" t="n">
        <v>45952</v>
      </c>
      <c r="D1221" t="inlineStr">
        <is>
          <t>ÖREBRO LÄN</t>
        </is>
      </c>
      <c r="E1221" t="inlineStr">
        <is>
          <t>KARLSKOGA</t>
        </is>
      </c>
      <c r="G1221" t="n">
        <v>6</v>
      </c>
      <c r="H1221" t="n">
        <v>0</v>
      </c>
      <c r="I1221" t="n">
        <v>0</v>
      </c>
      <c r="J1221" t="n">
        <v>0</v>
      </c>
      <c r="K1221" t="n">
        <v>0</v>
      </c>
      <c r="L1221" t="n">
        <v>0</v>
      </c>
      <c r="M1221" t="n">
        <v>0</v>
      </c>
      <c r="N1221" t="n">
        <v>0</v>
      </c>
      <c r="O1221" t="n">
        <v>0</v>
      </c>
      <c r="P1221" t="n">
        <v>0</v>
      </c>
      <c r="Q1221" t="n">
        <v>0</v>
      </c>
      <c r="R1221" s="2" t="inlineStr"/>
    </row>
    <row r="1222" ht="15" customHeight="1">
      <c r="A1222" t="inlineStr">
        <is>
          <t>A 67792-2020</t>
        </is>
      </c>
      <c r="B1222" s="1" t="n">
        <v>44182</v>
      </c>
      <c r="C1222" s="1" t="n">
        <v>45952</v>
      </c>
      <c r="D1222" t="inlineStr">
        <is>
          <t>ÖREBRO LÄN</t>
        </is>
      </c>
      <c r="E1222" t="inlineStr">
        <is>
          <t>LAXÅ</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62841-2023</t>
        </is>
      </c>
      <c r="B1223" s="1" t="n">
        <v>45270</v>
      </c>
      <c r="C1223" s="1" t="n">
        <v>45952</v>
      </c>
      <c r="D1223" t="inlineStr">
        <is>
          <t>ÖREBRO LÄN</t>
        </is>
      </c>
      <c r="E1223" t="inlineStr">
        <is>
          <t>LEKEBERG</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28535-2024</t>
        </is>
      </c>
      <c r="B1224" s="1" t="n">
        <v>45478.34103009259</v>
      </c>
      <c r="C1224" s="1" t="n">
        <v>45952</v>
      </c>
      <c r="D1224" t="inlineStr">
        <is>
          <t>ÖREBRO LÄN</t>
        </is>
      </c>
      <c r="E1224" t="inlineStr">
        <is>
          <t>HALLSBERG</t>
        </is>
      </c>
      <c r="F1224" t="inlineStr">
        <is>
          <t>Sveaskog</t>
        </is>
      </c>
      <c r="G1224" t="n">
        <v>0.3</v>
      </c>
      <c r="H1224" t="n">
        <v>0</v>
      </c>
      <c r="I1224" t="n">
        <v>0</v>
      </c>
      <c r="J1224" t="n">
        <v>0</v>
      </c>
      <c r="K1224" t="n">
        <v>0</v>
      </c>
      <c r="L1224" t="n">
        <v>0</v>
      </c>
      <c r="M1224" t="n">
        <v>0</v>
      </c>
      <c r="N1224" t="n">
        <v>0</v>
      </c>
      <c r="O1224" t="n">
        <v>0</v>
      </c>
      <c r="P1224" t="n">
        <v>0</v>
      </c>
      <c r="Q1224" t="n">
        <v>0</v>
      </c>
      <c r="R1224" s="2" t="inlineStr"/>
    </row>
    <row r="1225" ht="15" customHeight="1">
      <c r="A1225" t="inlineStr">
        <is>
          <t>A 46219-2022</t>
        </is>
      </c>
      <c r="B1225" s="1" t="n">
        <v>44846</v>
      </c>
      <c r="C1225" s="1" t="n">
        <v>45952</v>
      </c>
      <c r="D1225" t="inlineStr">
        <is>
          <t>ÖREBRO LÄN</t>
        </is>
      </c>
      <c r="E1225" t="inlineStr">
        <is>
          <t>LINDESBERG</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60183-2020</t>
        </is>
      </c>
      <c r="B1226" s="1" t="n">
        <v>44151</v>
      </c>
      <c r="C1226" s="1" t="n">
        <v>45952</v>
      </c>
      <c r="D1226" t="inlineStr">
        <is>
          <t>ÖREBRO LÄN</t>
        </is>
      </c>
      <c r="E1226" t="inlineStr">
        <is>
          <t>LINDESBERG</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63422-2021</t>
        </is>
      </c>
      <c r="B1227" s="1" t="n">
        <v>44508</v>
      </c>
      <c r="C1227" s="1" t="n">
        <v>45952</v>
      </c>
      <c r="D1227" t="inlineStr">
        <is>
          <t>ÖREBRO LÄN</t>
        </is>
      </c>
      <c r="E1227" t="inlineStr">
        <is>
          <t>ASKERSUND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16529-2024</t>
        </is>
      </c>
      <c r="B1228" s="1" t="n">
        <v>45408.42216435185</v>
      </c>
      <c r="C1228" s="1" t="n">
        <v>45952</v>
      </c>
      <c r="D1228" t="inlineStr">
        <is>
          <t>ÖREBRO LÄN</t>
        </is>
      </c>
      <c r="E1228" t="inlineStr">
        <is>
          <t>NORA</t>
        </is>
      </c>
      <c r="F1228" t="inlineStr">
        <is>
          <t>Sveaskog</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17895-2022</t>
        </is>
      </c>
      <c r="B1229" s="1" t="n">
        <v>44683</v>
      </c>
      <c r="C1229" s="1" t="n">
        <v>45952</v>
      </c>
      <c r="D1229" t="inlineStr">
        <is>
          <t>ÖREBRO LÄN</t>
        </is>
      </c>
      <c r="E1229" t="inlineStr">
        <is>
          <t>LINDESBERG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11676-2024</t>
        </is>
      </c>
      <c r="B1230" s="1" t="n">
        <v>45373.57236111111</v>
      </c>
      <c r="C1230" s="1" t="n">
        <v>45952</v>
      </c>
      <c r="D1230" t="inlineStr">
        <is>
          <t>ÖREBRO LÄN</t>
        </is>
      </c>
      <c r="E1230" t="inlineStr">
        <is>
          <t>LEKEBERG</t>
        </is>
      </c>
      <c r="G1230" t="n">
        <v>0.3</v>
      </c>
      <c r="H1230" t="n">
        <v>0</v>
      </c>
      <c r="I1230" t="n">
        <v>0</v>
      </c>
      <c r="J1230" t="n">
        <v>0</v>
      </c>
      <c r="K1230" t="n">
        <v>0</v>
      </c>
      <c r="L1230" t="n">
        <v>0</v>
      </c>
      <c r="M1230" t="n">
        <v>0</v>
      </c>
      <c r="N1230" t="n">
        <v>0</v>
      </c>
      <c r="O1230" t="n">
        <v>0</v>
      </c>
      <c r="P1230" t="n">
        <v>0</v>
      </c>
      <c r="Q1230" t="n">
        <v>0</v>
      </c>
      <c r="R1230" s="2" t="inlineStr"/>
    </row>
    <row r="1231" ht="15" customHeight="1">
      <c r="A1231" t="inlineStr">
        <is>
          <t>A 58539-2024</t>
        </is>
      </c>
      <c r="B1231" s="1" t="n">
        <v>45635.45157407408</v>
      </c>
      <c r="C1231" s="1" t="n">
        <v>45952</v>
      </c>
      <c r="D1231" t="inlineStr">
        <is>
          <t>ÖREBRO LÄN</t>
        </is>
      </c>
      <c r="E1231" t="inlineStr">
        <is>
          <t>ÖREBRO</t>
        </is>
      </c>
      <c r="F1231" t="inlineStr">
        <is>
          <t>Sveaskog</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8298-2022</t>
        </is>
      </c>
      <c r="B1232" s="1" t="n">
        <v>44610</v>
      </c>
      <c r="C1232" s="1" t="n">
        <v>45952</v>
      </c>
      <c r="D1232" t="inlineStr">
        <is>
          <t>ÖREBRO LÄN</t>
        </is>
      </c>
      <c r="E1232" t="inlineStr">
        <is>
          <t>ASKERSUND</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66341-2021</t>
        </is>
      </c>
      <c r="B1233" s="1" t="n">
        <v>44518</v>
      </c>
      <c r="C1233" s="1" t="n">
        <v>45952</v>
      </c>
      <c r="D1233" t="inlineStr">
        <is>
          <t>ÖREBRO LÄN</t>
        </is>
      </c>
      <c r="E1233" t="inlineStr">
        <is>
          <t>ASKERSUND</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73693-2021</t>
        </is>
      </c>
      <c r="B1234" s="1" t="n">
        <v>44552.48893518518</v>
      </c>
      <c r="C1234" s="1" t="n">
        <v>45952</v>
      </c>
      <c r="D1234" t="inlineStr">
        <is>
          <t>ÖREBRO LÄN</t>
        </is>
      </c>
      <c r="E1234" t="inlineStr">
        <is>
          <t>DEGERFORS</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10057-2025</t>
        </is>
      </c>
      <c r="B1235" s="1" t="n">
        <v>45719.52871527777</v>
      </c>
      <c r="C1235" s="1" t="n">
        <v>45952</v>
      </c>
      <c r="D1235" t="inlineStr">
        <is>
          <t>ÖREBRO LÄN</t>
        </is>
      </c>
      <c r="E1235" t="inlineStr">
        <is>
          <t>LINDESBERG</t>
        </is>
      </c>
      <c r="F1235" t="inlineStr">
        <is>
          <t>Sveaskog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36520-2022</t>
        </is>
      </c>
      <c r="B1236" s="1" t="n">
        <v>44804.53834490741</v>
      </c>
      <c r="C1236" s="1" t="n">
        <v>45952</v>
      </c>
      <c r="D1236" t="inlineStr">
        <is>
          <t>ÖREBRO LÄN</t>
        </is>
      </c>
      <c r="E1236" t="inlineStr">
        <is>
          <t>LAXÅ</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56267-2021</t>
        </is>
      </c>
      <c r="B1237" s="1" t="n">
        <v>44479.61296296296</v>
      </c>
      <c r="C1237" s="1" t="n">
        <v>45952</v>
      </c>
      <c r="D1237" t="inlineStr">
        <is>
          <t>ÖREBRO LÄN</t>
        </is>
      </c>
      <c r="E1237" t="inlineStr">
        <is>
          <t>LEKEBERG</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21005-2024</t>
        </is>
      </c>
      <c r="B1238" s="1" t="n">
        <v>45439</v>
      </c>
      <c r="C1238" s="1" t="n">
        <v>45952</v>
      </c>
      <c r="D1238" t="inlineStr">
        <is>
          <t>ÖREBRO LÄN</t>
        </is>
      </c>
      <c r="E1238" t="inlineStr">
        <is>
          <t>LAXÅ</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12815-2024</t>
        </is>
      </c>
      <c r="B1239" s="1" t="n">
        <v>45384.66650462963</v>
      </c>
      <c r="C1239" s="1" t="n">
        <v>45952</v>
      </c>
      <c r="D1239" t="inlineStr">
        <is>
          <t>ÖREBRO LÄN</t>
        </is>
      </c>
      <c r="E1239" t="inlineStr">
        <is>
          <t>NORA</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6213-2021</t>
        </is>
      </c>
      <c r="B1240" s="1" t="n">
        <v>44232</v>
      </c>
      <c r="C1240" s="1" t="n">
        <v>45952</v>
      </c>
      <c r="D1240" t="inlineStr">
        <is>
          <t>ÖREBRO LÄN</t>
        </is>
      </c>
      <c r="E1240" t="inlineStr">
        <is>
          <t>ÖREBRO</t>
        </is>
      </c>
      <c r="G1240" t="n">
        <v>4</v>
      </c>
      <c r="H1240" t="n">
        <v>0</v>
      </c>
      <c r="I1240" t="n">
        <v>0</v>
      </c>
      <c r="J1240" t="n">
        <v>0</v>
      </c>
      <c r="K1240" t="n">
        <v>0</v>
      </c>
      <c r="L1240" t="n">
        <v>0</v>
      </c>
      <c r="M1240" t="n">
        <v>0</v>
      </c>
      <c r="N1240" t="n">
        <v>0</v>
      </c>
      <c r="O1240" t="n">
        <v>0</v>
      </c>
      <c r="P1240" t="n">
        <v>0</v>
      </c>
      <c r="Q1240" t="n">
        <v>0</v>
      </c>
      <c r="R1240" s="2" t="inlineStr"/>
    </row>
    <row r="1241" ht="15" customHeight="1">
      <c r="A1241" t="inlineStr">
        <is>
          <t>A 51539-2024</t>
        </is>
      </c>
      <c r="B1241" s="1" t="n">
        <v>45604.58837962963</v>
      </c>
      <c r="C1241" s="1" t="n">
        <v>45952</v>
      </c>
      <c r="D1241" t="inlineStr">
        <is>
          <t>ÖREBRO LÄN</t>
        </is>
      </c>
      <c r="E1241" t="inlineStr">
        <is>
          <t>LINDESBERG</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11836-2025</t>
        </is>
      </c>
      <c r="B1242" s="1" t="n">
        <v>45728.35930555555</v>
      </c>
      <c r="C1242" s="1" t="n">
        <v>45952</v>
      </c>
      <c r="D1242" t="inlineStr">
        <is>
          <t>ÖREBRO LÄN</t>
        </is>
      </c>
      <c r="E1242" t="inlineStr">
        <is>
          <t>ASKERSUND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41853-2024</t>
        </is>
      </c>
      <c r="B1243" s="1" t="n">
        <v>45561</v>
      </c>
      <c r="C1243" s="1" t="n">
        <v>45952</v>
      </c>
      <c r="D1243" t="inlineStr">
        <is>
          <t>ÖREBRO LÄN</t>
        </is>
      </c>
      <c r="E1243" t="inlineStr">
        <is>
          <t>LAXÅ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34313-2022</t>
        </is>
      </c>
      <c r="B1244" s="1" t="n">
        <v>44792</v>
      </c>
      <c r="C1244" s="1" t="n">
        <v>45952</v>
      </c>
      <c r="D1244" t="inlineStr">
        <is>
          <t>ÖREBRO LÄN</t>
        </is>
      </c>
      <c r="E1244" t="inlineStr">
        <is>
          <t>HÄLLEFORS</t>
        </is>
      </c>
      <c r="F1244" t="inlineStr">
        <is>
          <t>Bergvik skog väst AB</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48105-2021</t>
        </is>
      </c>
      <c r="B1245" s="1" t="n">
        <v>44449</v>
      </c>
      <c r="C1245" s="1" t="n">
        <v>45952</v>
      </c>
      <c r="D1245" t="inlineStr">
        <is>
          <t>ÖREBRO LÄN</t>
        </is>
      </c>
      <c r="E1245" t="inlineStr">
        <is>
          <t>NORA</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58120-2024</t>
        </is>
      </c>
      <c r="B1246" s="1" t="n">
        <v>45632.39280092593</v>
      </c>
      <c r="C1246" s="1" t="n">
        <v>45952</v>
      </c>
      <c r="D1246" t="inlineStr">
        <is>
          <t>ÖREBRO LÄN</t>
        </is>
      </c>
      <c r="E1246" t="inlineStr">
        <is>
          <t>DEGERFORS</t>
        </is>
      </c>
      <c r="F1246" t="inlineStr">
        <is>
          <t>Sveaskog</t>
        </is>
      </c>
      <c r="G1246" t="n">
        <v>4.1</v>
      </c>
      <c r="H1246" t="n">
        <v>0</v>
      </c>
      <c r="I1246" t="n">
        <v>0</v>
      </c>
      <c r="J1246" t="n">
        <v>0</v>
      </c>
      <c r="K1246" t="n">
        <v>0</v>
      </c>
      <c r="L1246" t="n">
        <v>0</v>
      </c>
      <c r="M1246" t="n">
        <v>0</v>
      </c>
      <c r="N1246" t="n">
        <v>0</v>
      </c>
      <c r="O1246" t="n">
        <v>0</v>
      </c>
      <c r="P1246" t="n">
        <v>0</v>
      </c>
      <c r="Q1246" t="n">
        <v>0</v>
      </c>
      <c r="R1246" s="2" t="inlineStr"/>
    </row>
    <row r="1247" ht="15" customHeight="1">
      <c r="A1247" t="inlineStr">
        <is>
          <t>A 58125-2024</t>
        </is>
      </c>
      <c r="B1247" s="1" t="n">
        <v>45632.39546296297</v>
      </c>
      <c r="C1247" s="1" t="n">
        <v>45952</v>
      </c>
      <c r="D1247" t="inlineStr">
        <is>
          <t>ÖREBRO LÄN</t>
        </is>
      </c>
      <c r="E1247" t="inlineStr">
        <is>
          <t>DEGERFORS</t>
        </is>
      </c>
      <c r="F1247" t="inlineStr">
        <is>
          <t>Sveaskog</t>
        </is>
      </c>
      <c r="G1247" t="n">
        <v>8.9</v>
      </c>
      <c r="H1247" t="n">
        <v>0</v>
      </c>
      <c r="I1247" t="n">
        <v>0</v>
      </c>
      <c r="J1247" t="n">
        <v>0</v>
      </c>
      <c r="K1247" t="n">
        <v>0</v>
      </c>
      <c r="L1247" t="n">
        <v>0</v>
      </c>
      <c r="M1247" t="n">
        <v>0</v>
      </c>
      <c r="N1247" t="n">
        <v>0</v>
      </c>
      <c r="O1247" t="n">
        <v>0</v>
      </c>
      <c r="P1247" t="n">
        <v>0</v>
      </c>
      <c r="Q1247" t="n">
        <v>0</v>
      </c>
      <c r="R1247" s="2" t="inlineStr"/>
    </row>
    <row r="1248" ht="15" customHeight="1">
      <c r="A1248" t="inlineStr">
        <is>
          <t>A 57285-2020</t>
        </is>
      </c>
      <c r="B1248" s="1" t="n">
        <v>44139</v>
      </c>
      <c r="C1248" s="1" t="n">
        <v>45952</v>
      </c>
      <c r="D1248" t="inlineStr">
        <is>
          <t>ÖREBRO LÄN</t>
        </is>
      </c>
      <c r="E1248" t="inlineStr">
        <is>
          <t>KARLSKOGA</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18321-2022</t>
        </is>
      </c>
      <c r="B1249" s="1" t="n">
        <v>44685</v>
      </c>
      <c r="C1249" s="1" t="n">
        <v>45952</v>
      </c>
      <c r="D1249" t="inlineStr">
        <is>
          <t>ÖREBRO LÄN</t>
        </is>
      </c>
      <c r="E1249" t="inlineStr">
        <is>
          <t>ÖREBRO</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58164-2024</t>
        </is>
      </c>
      <c r="B1250" s="1" t="n">
        <v>45632.45396990741</v>
      </c>
      <c r="C1250" s="1" t="n">
        <v>45952</v>
      </c>
      <c r="D1250" t="inlineStr">
        <is>
          <t>ÖREBRO LÄN</t>
        </is>
      </c>
      <c r="E1250" t="inlineStr">
        <is>
          <t>DEGERFORS</t>
        </is>
      </c>
      <c r="F1250" t="inlineStr">
        <is>
          <t>Sveaskog</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54862-2024</t>
        </is>
      </c>
      <c r="B1251" s="1" t="n">
        <v>45618</v>
      </c>
      <c r="C1251" s="1" t="n">
        <v>45952</v>
      </c>
      <c r="D1251" t="inlineStr">
        <is>
          <t>ÖREBRO LÄN</t>
        </is>
      </c>
      <c r="E1251" t="inlineStr">
        <is>
          <t>LINDESBERG</t>
        </is>
      </c>
      <c r="F1251" t="inlineStr">
        <is>
          <t>Sveaskog</t>
        </is>
      </c>
      <c r="G1251" t="n">
        <v>12.2</v>
      </c>
      <c r="H1251" t="n">
        <v>0</v>
      </c>
      <c r="I1251" t="n">
        <v>0</v>
      </c>
      <c r="J1251" t="n">
        <v>0</v>
      </c>
      <c r="K1251" t="n">
        <v>0</v>
      </c>
      <c r="L1251" t="n">
        <v>0</v>
      </c>
      <c r="M1251" t="n">
        <v>0</v>
      </c>
      <c r="N1251" t="n">
        <v>0</v>
      </c>
      <c r="O1251" t="n">
        <v>0</v>
      </c>
      <c r="P1251" t="n">
        <v>0</v>
      </c>
      <c r="Q1251" t="n">
        <v>0</v>
      </c>
      <c r="R1251" s="2" t="inlineStr"/>
    </row>
    <row r="1252" ht="15" customHeight="1">
      <c r="A1252" t="inlineStr">
        <is>
          <t>A 23648-2024</t>
        </is>
      </c>
      <c r="B1252" s="1" t="n">
        <v>45454</v>
      </c>
      <c r="C1252" s="1" t="n">
        <v>45952</v>
      </c>
      <c r="D1252" t="inlineStr">
        <is>
          <t>ÖREBRO LÄN</t>
        </is>
      </c>
      <c r="E1252" t="inlineStr">
        <is>
          <t>KUMLA</t>
        </is>
      </c>
      <c r="F1252" t="inlineStr">
        <is>
          <t>Kommuner</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11081-2022</t>
        </is>
      </c>
      <c r="B1253" s="1" t="n">
        <v>44628</v>
      </c>
      <c r="C1253" s="1" t="n">
        <v>45952</v>
      </c>
      <c r="D1253" t="inlineStr">
        <is>
          <t>ÖREBRO LÄN</t>
        </is>
      </c>
      <c r="E1253" t="inlineStr">
        <is>
          <t>KARLSKOGA</t>
        </is>
      </c>
      <c r="F1253" t="inlineStr">
        <is>
          <t>Sveaskog</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58532-2024</t>
        </is>
      </c>
      <c r="B1254" s="1" t="n">
        <v>45635.44899305556</v>
      </c>
      <c r="C1254" s="1" t="n">
        <v>45952</v>
      </c>
      <c r="D1254" t="inlineStr">
        <is>
          <t>ÖREBRO LÄN</t>
        </is>
      </c>
      <c r="E1254" t="inlineStr">
        <is>
          <t>ÖREBRO</t>
        </is>
      </c>
      <c r="F1254" t="inlineStr">
        <is>
          <t>Sveaskog</t>
        </is>
      </c>
      <c r="G1254" t="n">
        <v>5.2</v>
      </c>
      <c r="H1254" t="n">
        <v>0</v>
      </c>
      <c r="I1254" t="n">
        <v>0</v>
      </c>
      <c r="J1254" t="n">
        <v>0</v>
      </c>
      <c r="K1254" t="n">
        <v>0</v>
      </c>
      <c r="L1254" t="n">
        <v>0</v>
      </c>
      <c r="M1254" t="n">
        <v>0</v>
      </c>
      <c r="N1254" t="n">
        <v>0</v>
      </c>
      <c r="O1254" t="n">
        <v>0</v>
      </c>
      <c r="P1254" t="n">
        <v>0</v>
      </c>
      <c r="Q1254" t="n">
        <v>0</v>
      </c>
      <c r="R1254" s="2" t="inlineStr"/>
    </row>
    <row r="1255" ht="15" customHeight="1">
      <c r="A1255" t="inlineStr">
        <is>
          <t>A 9327-2025</t>
        </is>
      </c>
      <c r="B1255" s="1" t="n">
        <v>45714.74899305555</v>
      </c>
      <c r="C1255" s="1" t="n">
        <v>45952</v>
      </c>
      <c r="D1255" t="inlineStr">
        <is>
          <t>ÖREBRO LÄN</t>
        </is>
      </c>
      <c r="E1255" t="inlineStr">
        <is>
          <t>ASKERSUND</t>
        </is>
      </c>
      <c r="G1255" t="n">
        <v>17.4</v>
      </c>
      <c r="H1255" t="n">
        <v>0</v>
      </c>
      <c r="I1255" t="n">
        <v>0</v>
      </c>
      <c r="J1255" t="n">
        <v>0</v>
      </c>
      <c r="K1255" t="n">
        <v>0</v>
      </c>
      <c r="L1255" t="n">
        <v>0</v>
      </c>
      <c r="M1255" t="n">
        <v>0</v>
      </c>
      <c r="N1255" t="n">
        <v>0</v>
      </c>
      <c r="O1255" t="n">
        <v>0</v>
      </c>
      <c r="P1255" t="n">
        <v>0</v>
      </c>
      <c r="Q1255" t="n">
        <v>0</v>
      </c>
      <c r="R1255" s="2" t="inlineStr"/>
    </row>
    <row r="1256" ht="15" customHeight="1">
      <c r="A1256" t="inlineStr">
        <is>
          <t>A 55053-2021</t>
        </is>
      </c>
      <c r="B1256" s="1" t="n">
        <v>44474</v>
      </c>
      <c r="C1256" s="1" t="n">
        <v>45952</v>
      </c>
      <c r="D1256" t="inlineStr">
        <is>
          <t>ÖREBRO LÄN</t>
        </is>
      </c>
      <c r="E1256" t="inlineStr">
        <is>
          <t>ASKERSUND</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5358-2022</t>
        </is>
      </c>
      <c r="B1257" s="1" t="n">
        <v>44594.84091435185</v>
      </c>
      <c r="C1257" s="1" t="n">
        <v>45952</v>
      </c>
      <c r="D1257" t="inlineStr">
        <is>
          <t>ÖREBRO LÄN</t>
        </is>
      </c>
      <c r="E1257" t="inlineStr">
        <is>
          <t>LINDESBERG</t>
        </is>
      </c>
      <c r="G1257" t="n">
        <v>2.8</v>
      </c>
      <c r="H1257" t="n">
        <v>0</v>
      </c>
      <c r="I1257" t="n">
        <v>0</v>
      </c>
      <c r="J1257" t="n">
        <v>0</v>
      </c>
      <c r="K1257" t="n">
        <v>0</v>
      </c>
      <c r="L1257" t="n">
        <v>0</v>
      </c>
      <c r="M1257" t="n">
        <v>0</v>
      </c>
      <c r="N1257" t="n">
        <v>0</v>
      </c>
      <c r="O1257" t="n">
        <v>0</v>
      </c>
      <c r="P1257" t="n">
        <v>0</v>
      </c>
      <c r="Q1257" t="n">
        <v>0</v>
      </c>
      <c r="R1257" s="2" t="inlineStr"/>
    </row>
    <row r="1258" ht="15" customHeight="1">
      <c r="A1258" t="inlineStr">
        <is>
          <t>A 5398-2022</t>
        </is>
      </c>
      <c r="B1258" s="1" t="n">
        <v>44595.3353587963</v>
      </c>
      <c r="C1258" s="1" t="n">
        <v>45952</v>
      </c>
      <c r="D1258" t="inlineStr">
        <is>
          <t>ÖREBRO LÄN</t>
        </is>
      </c>
      <c r="E1258" t="inlineStr">
        <is>
          <t>ÖREBRO</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7374-2022</t>
        </is>
      </c>
      <c r="B1259" s="1" t="n">
        <v>44606.59967592593</v>
      </c>
      <c r="C1259" s="1" t="n">
        <v>45952</v>
      </c>
      <c r="D1259" t="inlineStr">
        <is>
          <t>ÖREBRO LÄN</t>
        </is>
      </c>
      <c r="E1259" t="inlineStr">
        <is>
          <t>ASKERSUND</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8615-2025</t>
        </is>
      </c>
      <c r="B1260" s="1" t="n">
        <v>45710.81305555555</v>
      </c>
      <c r="C1260" s="1" t="n">
        <v>45952</v>
      </c>
      <c r="D1260" t="inlineStr">
        <is>
          <t>ÖREBRO LÄN</t>
        </is>
      </c>
      <c r="E1260" t="inlineStr">
        <is>
          <t>HÄLLEFORS</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50891-2024</t>
        </is>
      </c>
      <c r="B1261" s="1" t="n">
        <v>45602.67336805556</v>
      </c>
      <c r="C1261" s="1" t="n">
        <v>45952</v>
      </c>
      <c r="D1261" t="inlineStr">
        <is>
          <t>ÖREBRO LÄN</t>
        </is>
      </c>
      <c r="E1261" t="inlineStr">
        <is>
          <t>HALLSBERG</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38907-2023</t>
        </is>
      </c>
      <c r="B1262" s="1" t="n">
        <v>45163</v>
      </c>
      <c r="C1262" s="1" t="n">
        <v>45952</v>
      </c>
      <c r="D1262" t="inlineStr">
        <is>
          <t>ÖREBRO LÄN</t>
        </is>
      </c>
      <c r="E1262" t="inlineStr">
        <is>
          <t>DEGERFORS</t>
        </is>
      </c>
      <c r="F1262" t="inlineStr">
        <is>
          <t>Sveaskog</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38910-2023</t>
        </is>
      </c>
      <c r="B1263" s="1" t="n">
        <v>45163</v>
      </c>
      <c r="C1263" s="1" t="n">
        <v>45952</v>
      </c>
      <c r="D1263" t="inlineStr">
        <is>
          <t>ÖREBRO LÄN</t>
        </is>
      </c>
      <c r="E1263" t="inlineStr">
        <is>
          <t>DEGERFORS</t>
        </is>
      </c>
      <c r="F1263" t="inlineStr">
        <is>
          <t>Sveaskog</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44052-2024</t>
        </is>
      </c>
      <c r="B1264" s="1" t="n">
        <v>45572.59605324074</v>
      </c>
      <c r="C1264" s="1" t="n">
        <v>45952</v>
      </c>
      <c r="D1264" t="inlineStr">
        <is>
          <t>ÖREBRO LÄN</t>
        </is>
      </c>
      <c r="E1264" t="inlineStr">
        <is>
          <t>HÄLLEFORS</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57343-2021</t>
        </is>
      </c>
      <c r="B1265" s="1" t="n">
        <v>44482</v>
      </c>
      <c r="C1265" s="1" t="n">
        <v>45952</v>
      </c>
      <c r="D1265" t="inlineStr">
        <is>
          <t>ÖREBRO LÄN</t>
        </is>
      </c>
      <c r="E1265" t="inlineStr">
        <is>
          <t>ÖREBRO</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1607-2023</t>
        </is>
      </c>
      <c r="B1266" s="1" t="n">
        <v>44937</v>
      </c>
      <c r="C1266" s="1" t="n">
        <v>45952</v>
      </c>
      <c r="D1266" t="inlineStr">
        <is>
          <t>ÖREBRO LÄN</t>
        </is>
      </c>
      <c r="E1266" t="inlineStr">
        <is>
          <t>LEKEBERG</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4910-2023</t>
        </is>
      </c>
      <c r="B1267" s="1" t="n">
        <v>44958.38488425926</v>
      </c>
      <c r="C1267" s="1" t="n">
        <v>45952</v>
      </c>
      <c r="D1267" t="inlineStr">
        <is>
          <t>ÖREBRO LÄN</t>
        </is>
      </c>
      <c r="E1267" t="inlineStr">
        <is>
          <t>NORA</t>
        </is>
      </c>
      <c r="G1267" t="n">
        <v>4.7</v>
      </c>
      <c r="H1267" t="n">
        <v>0</v>
      </c>
      <c r="I1267" t="n">
        <v>0</v>
      </c>
      <c r="J1267" t="n">
        <v>0</v>
      </c>
      <c r="K1267" t="n">
        <v>0</v>
      </c>
      <c r="L1267" t="n">
        <v>0</v>
      </c>
      <c r="M1267" t="n">
        <v>0</v>
      </c>
      <c r="N1267" t="n">
        <v>0</v>
      </c>
      <c r="O1267" t="n">
        <v>0</v>
      </c>
      <c r="P1267" t="n">
        <v>0</v>
      </c>
      <c r="Q1267" t="n">
        <v>0</v>
      </c>
      <c r="R1267" s="2" t="inlineStr"/>
    </row>
    <row r="1268" ht="15" customHeight="1">
      <c r="A1268" t="inlineStr">
        <is>
          <t>A 59444-2020</t>
        </is>
      </c>
      <c r="B1268" s="1" t="n">
        <v>44148</v>
      </c>
      <c r="C1268" s="1" t="n">
        <v>45952</v>
      </c>
      <c r="D1268" t="inlineStr">
        <is>
          <t>ÖREBRO LÄN</t>
        </is>
      </c>
      <c r="E1268" t="inlineStr">
        <is>
          <t>KUMLA</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48782-2024</t>
        </is>
      </c>
      <c r="B1269" s="1" t="n">
        <v>45593</v>
      </c>
      <c r="C1269" s="1" t="n">
        <v>45952</v>
      </c>
      <c r="D1269" t="inlineStr">
        <is>
          <t>ÖREBRO LÄN</t>
        </is>
      </c>
      <c r="E1269" t="inlineStr">
        <is>
          <t>LAXÅ</t>
        </is>
      </c>
      <c r="F1269" t="inlineStr">
        <is>
          <t>Sveaskog</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60937-2024</t>
        </is>
      </c>
      <c r="B1270" s="1" t="n">
        <v>45645.3683912037</v>
      </c>
      <c r="C1270" s="1" t="n">
        <v>45952</v>
      </c>
      <c r="D1270" t="inlineStr">
        <is>
          <t>ÖREBRO LÄN</t>
        </is>
      </c>
      <c r="E1270" t="inlineStr">
        <is>
          <t>DEGERFORS</t>
        </is>
      </c>
      <c r="F1270" t="inlineStr">
        <is>
          <t>Sveaskog</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60940-2024</t>
        </is>
      </c>
      <c r="B1271" s="1" t="n">
        <v>45645.37079861111</v>
      </c>
      <c r="C1271" s="1" t="n">
        <v>45952</v>
      </c>
      <c r="D1271" t="inlineStr">
        <is>
          <t>ÖREBRO LÄN</t>
        </is>
      </c>
      <c r="E1271" t="inlineStr">
        <is>
          <t>DEGERFORS</t>
        </is>
      </c>
      <c r="F1271" t="inlineStr">
        <is>
          <t>Sveaskog</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33858-2022</t>
        </is>
      </c>
      <c r="B1272" s="1" t="n">
        <v>44790</v>
      </c>
      <c r="C1272" s="1" t="n">
        <v>45952</v>
      </c>
      <c r="D1272" t="inlineStr">
        <is>
          <t>ÖREBRO LÄN</t>
        </is>
      </c>
      <c r="E1272" t="inlineStr">
        <is>
          <t>LJUSNARSBERG</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60943-2024</t>
        </is>
      </c>
      <c r="B1273" s="1" t="n">
        <v>45645.3737962963</v>
      </c>
      <c r="C1273" s="1" t="n">
        <v>45952</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31998-2022</t>
        </is>
      </c>
      <c r="B1274" s="1" t="n">
        <v>44778.32798611111</v>
      </c>
      <c r="C1274" s="1" t="n">
        <v>45952</v>
      </c>
      <c r="D1274" t="inlineStr">
        <is>
          <t>ÖREBRO LÄN</t>
        </is>
      </c>
      <c r="E1274" t="inlineStr">
        <is>
          <t>LJUSNARSBERG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38402-2023</t>
        </is>
      </c>
      <c r="B1275" s="1" t="n">
        <v>45162</v>
      </c>
      <c r="C1275" s="1" t="n">
        <v>45952</v>
      </c>
      <c r="D1275" t="inlineStr">
        <is>
          <t>ÖREBRO LÄN</t>
        </is>
      </c>
      <c r="E1275" t="inlineStr">
        <is>
          <t>HÄLLEFORS</t>
        </is>
      </c>
      <c r="F1275" t="inlineStr">
        <is>
          <t>Bergvik skog väst AB</t>
        </is>
      </c>
      <c r="G1275" t="n">
        <v>8.5</v>
      </c>
      <c r="H1275" t="n">
        <v>0</v>
      </c>
      <c r="I1275" t="n">
        <v>0</v>
      </c>
      <c r="J1275" t="n">
        <v>0</v>
      </c>
      <c r="K1275" t="n">
        <v>0</v>
      </c>
      <c r="L1275" t="n">
        <v>0</v>
      </c>
      <c r="M1275" t="n">
        <v>0</v>
      </c>
      <c r="N1275" t="n">
        <v>0</v>
      </c>
      <c r="O1275" t="n">
        <v>0</v>
      </c>
      <c r="P1275" t="n">
        <v>0</v>
      </c>
      <c r="Q1275" t="n">
        <v>0</v>
      </c>
      <c r="R1275" s="2" t="inlineStr"/>
    </row>
    <row r="1276" ht="15" customHeight="1">
      <c r="A1276" t="inlineStr">
        <is>
          <t>A 16130-2022</t>
        </is>
      </c>
      <c r="B1276" s="1" t="n">
        <v>44665</v>
      </c>
      <c r="C1276" s="1" t="n">
        <v>45952</v>
      </c>
      <c r="D1276" t="inlineStr">
        <is>
          <t>ÖREBRO LÄN</t>
        </is>
      </c>
      <c r="E1276" t="inlineStr">
        <is>
          <t>LINDESBERG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38010-2023</t>
        </is>
      </c>
      <c r="B1277" s="1" t="n">
        <v>45160</v>
      </c>
      <c r="C1277" s="1" t="n">
        <v>45952</v>
      </c>
      <c r="D1277" t="inlineStr">
        <is>
          <t>ÖREBRO LÄN</t>
        </is>
      </c>
      <c r="E1277" t="inlineStr">
        <is>
          <t>HALLSBERG</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32859-2022</t>
        </is>
      </c>
      <c r="B1278" s="1" t="n">
        <v>44784</v>
      </c>
      <c r="C1278" s="1" t="n">
        <v>45952</v>
      </c>
      <c r="D1278" t="inlineStr">
        <is>
          <t>ÖREBRO LÄN</t>
        </is>
      </c>
      <c r="E1278" t="inlineStr">
        <is>
          <t>KUMLA</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38422-2023</t>
        </is>
      </c>
      <c r="B1279" s="1" t="n">
        <v>45162.36422453704</v>
      </c>
      <c r="C1279" s="1" t="n">
        <v>45952</v>
      </c>
      <c r="D1279" t="inlineStr">
        <is>
          <t>ÖREBRO LÄN</t>
        </is>
      </c>
      <c r="E1279" t="inlineStr">
        <is>
          <t>ÖREBRO</t>
        </is>
      </c>
      <c r="G1279" t="n">
        <v>8</v>
      </c>
      <c r="H1279" t="n">
        <v>0</v>
      </c>
      <c r="I1279" t="n">
        <v>0</v>
      </c>
      <c r="J1279" t="n">
        <v>0</v>
      </c>
      <c r="K1279" t="n">
        <v>0</v>
      </c>
      <c r="L1279" t="n">
        <v>0</v>
      </c>
      <c r="M1279" t="n">
        <v>0</v>
      </c>
      <c r="N1279" t="n">
        <v>0</v>
      </c>
      <c r="O1279" t="n">
        <v>0</v>
      </c>
      <c r="P1279" t="n">
        <v>0</v>
      </c>
      <c r="Q1279" t="n">
        <v>0</v>
      </c>
      <c r="R1279" s="2" t="inlineStr"/>
    </row>
    <row r="1280" ht="15" customHeight="1">
      <c r="A1280" t="inlineStr">
        <is>
          <t>A 38415-2023</t>
        </is>
      </c>
      <c r="B1280" s="1" t="n">
        <v>45162.35502314815</v>
      </c>
      <c r="C1280" s="1" t="n">
        <v>45952</v>
      </c>
      <c r="D1280" t="inlineStr">
        <is>
          <t>ÖREBRO LÄN</t>
        </is>
      </c>
      <c r="E1280" t="inlineStr">
        <is>
          <t>ÖREBRO</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187-2024</t>
        </is>
      </c>
      <c r="B1281" s="1" t="n">
        <v>45294</v>
      </c>
      <c r="C1281" s="1" t="n">
        <v>45952</v>
      </c>
      <c r="D1281" t="inlineStr">
        <is>
          <t>ÖREBRO LÄN</t>
        </is>
      </c>
      <c r="E1281" t="inlineStr">
        <is>
          <t>ÖREBRO</t>
        </is>
      </c>
      <c r="G1281" t="n">
        <v>5.9</v>
      </c>
      <c r="H1281" t="n">
        <v>0</v>
      </c>
      <c r="I1281" t="n">
        <v>0</v>
      </c>
      <c r="J1281" t="n">
        <v>0</v>
      </c>
      <c r="K1281" t="n">
        <v>0</v>
      </c>
      <c r="L1281" t="n">
        <v>0</v>
      </c>
      <c r="M1281" t="n">
        <v>0</v>
      </c>
      <c r="N1281" t="n">
        <v>0</v>
      </c>
      <c r="O1281" t="n">
        <v>0</v>
      </c>
      <c r="P1281" t="n">
        <v>0</v>
      </c>
      <c r="Q1281" t="n">
        <v>0</v>
      </c>
      <c r="R1281" s="2" t="inlineStr"/>
    </row>
    <row r="1282" ht="15" customHeight="1">
      <c r="A1282" t="inlineStr">
        <is>
          <t>A 37491-2021</t>
        </is>
      </c>
      <c r="B1282" s="1" t="n">
        <v>44399.29892361111</v>
      </c>
      <c r="C1282" s="1" t="n">
        <v>45952</v>
      </c>
      <c r="D1282" t="inlineStr">
        <is>
          <t>ÖREBRO LÄN</t>
        </is>
      </c>
      <c r="E1282" t="inlineStr">
        <is>
          <t>LEKEBERG</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42804-2023</t>
        </is>
      </c>
      <c r="B1283" s="1" t="n">
        <v>45182</v>
      </c>
      <c r="C1283" s="1" t="n">
        <v>45952</v>
      </c>
      <c r="D1283" t="inlineStr">
        <is>
          <t>ÖREBRO LÄN</t>
        </is>
      </c>
      <c r="E1283" t="inlineStr">
        <is>
          <t>KARLSKOGA</t>
        </is>
      </c>
      <c r="F1283" t="inlineStr">
        <is>
          <t>Sveaskog</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57090-2022</t>
        </is>
      </c>
      <c r="B1284" s="1" t="n">
        <v>44895.46328703704</v>
      </c>
      <c r="C1284" s="1" t="n">
        <v>45952</v>
      </c>
      <c r="D1284" t="inlineStr">
        <is>
          <t>ÖREBRO LÄN</t>
        </is>
      </c>
      <c r="E1284" t="inlineStr">
        <is>
          <t>LJUSNARSBERG</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20788-2023</t>
        </is>
      </c>
      <c r="B1285" s="1" t="n">
        <v>45058.59846064815</v>
      </c>
      <c r="C1285" s="1" t="n">
        <v>45952</v>
      </c>
      <c r="D1285" t="inlineStr">
        <is>
          <t>ÖREBRO LÄN</t>
        </is>
      </c>
      <c r="E1285" t="inlineStr">
        <is>
          <t>ASKERSUND</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74464-2021</t>
        </is>
      </c>
      <c r="B1286" s="1" t="n">
        <v>44560.52915509259</v>
      </c>
      <c r="C1286" s="1" t="n">
        <v>45952</v>
      </c>
      <c r="D1286" t="inlineStr">
        <is>
          <t>ÖREBRO LÄN</t>
        </is>
      </c>
      <c r="E1286" t="inlineStr">
        <is>
          <t>HÄLLEFORS</t>
        </is>
      </c>
      <c r="F1286" t="inlineStr">
        <is>
          <t>Bergvik skog väst AB</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41345-2023</t>
        </is>
      </c>
      <c r="B1287" s="1" t="n">
        <v>45174</v>
      </c>
      <c r="C1287" s="1" t="n">
        <v>45952</v>
      </c>
      <c r="D1287" t="inlineStr">
        <is>
          <t>ÖREBRO LÄN</t>
        </is>
      </c>
      <c r="E1287" t="inlineStr">
        <is>
          <t>HALLSBERG</t>
        </is>
      </c>
      <c r="F1287" t="inlineStr">
        <is>
          <t>Allmännings- och besparingsskogar</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41948-2023</t>
        </is>
      </c>
      <c r="B1288" s="1" t="n">
        <v>45177.33091435185</v>
      </c>
      <c r="C1288" s="1" t="n">
        <v>45952</v>
      </c>
      <c r="D1288" t="inlineStr">
        <is>
          <t>ÖREBRO LÄN</t>
        </is>
      </c>
      <c r="E1288" t="inlineStr">
        <is>
          <t>LINDESBERG</t>
        </is>
      </c>
      <c r="F1288" t="inlineStr">
        <is>
          <t>Kyrkan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9510-2023</t>
        </is>
      </c>
      <c r="B1289" s="1" t="n">
        <v>44981.64696759259</v>
      </c>
      <c r="C1289" s="1" t="n">
        <v>45952</v>
      </c>
      <c r="D1289" t="inlineStr">
        <is>
          <t>ÖREBRO LÄN</t>
        </is>
      </c>
      <c r="E1289" t="inlineStr">
        <is>
          <t>KARLSKOGA</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44804-2024</t>
        </is>
      </c>
      <c r="B1290" s="1" t="n">
        <v>45574.65189814815</v>
      </c>
      <c r="C1290" s="1" t="n">
        <v>45952</v>
      </c>
      <c r="D1290" t="inlineStr">
        <is>
          <t>ÖREBRO LÄN</t>
        </is>
      </c>
      <c r="E1290" t="inlineStr">
        <is>
          <t>LINDESBERG</t>
        </is>
      </c>
      <c r="F1290" t="inlineStr">
        <is>
          <t>Sveaskog</t>
        </is>
      </c>
      <c r="G1290" t="n">
        <v>5.7</v>
      </c>
      <c r="H1290" t="n">
        <v>0</v>
      </c>
      <c r="I1290" t="n">
        <v>0</v>
      </c>
      <c r="J1290" t="n">
        <v>0</v>
      </c>
      <c r="K1290" t="n">
        <v>0</v>
      </c>
      <c r="L1290" t="n">
        <v>0</v>
      </c>
      <c r="M1290" t="n">
        <v>0</v>
      </c>
      <c r="N1290" t="n">
        <v>0</v>
      </c>
      <c r="O1290" t="n">
        <v>0</v>
      </c>
      <c r="P1290" t="n">
        <v>0</v>
      </c>
      <c r="Q1290" t="n">
        <v>0</v>
      </c>
      <c r="R1290" s="2" t="inlineStr"/>
    </row>
    <row r="1291" ht="15" customHeight="1">
      <c r="A1291" t="inlineStr">
        <is>
          <t>A 9530-2025</t>
        </is>
      </c>
      <c r="B1291" s="1" t="n">
        <v>45714</v>
      </c>
      <c r="C1291" s="1" t="n">
        <v>45952</v>
      </c>
      <c r="D1291" t="inlineStr">
        <is>
          <t>ÖREBRO LÄN</t>
        </is>
      </c>
      <c r="E1291" t="inlineStr">
        <is>
          <t>ASKERSUND</t>
        </is>
      </c>
      <c r="F1291" t="inlineStr">
        <is>
          <t>Övriga Aktiebolag</t>
        </is>
      </c>
      <c r="G1291" t="n">
        <v>4.1</v>
      </c>
      <c r="H1291" t="n">
        <v>0</v>
      </c>
      <c r="I1291" t="n">
        <v>0</v>
      </c>
      <c r="J1291" t="n">
        <v>0</v>
      </c>
      <c r="K1291" t="n">
        <v>0</v>
      </c>
      <c r="L1291" t="n">
        <v>0</v>
      </c>
      <c r="M1291" t="n">
        <v>0</v>
      </c>
      <c r="N1291" t="n">
        <v>0</v>
      </c>
      <c r="O1291" t="n">
        <v>0</v>
      </c>
      <c r="P1291" t="n">
        <v>0</v>
      </c>
      <c r="Q1291" t="n">
        <v>0</v>
      </c>
      <c r="R1291" s="2" t="inlineStr"/>
    </row>
    <row r="1292" ht="15" customHeight="1">
      <c r="A1292" t="inlineStr">
        <is>
          <t>A 31950-2022</t>
        </is>
      </c>
      <c r="B1292" s="1" t="n">
        <v>44777</v>
      </c>
      <c r="C1292" s="1" t="n">
        <v>45952</v>
      </c>
      <c r="D1292" t="inlineStr">
        <is>
          <t>ÖREBRO LÄN</t>
        </is>
      </c>
      <c r="E1292" t="inlineStr">
        <is>
          <t>LINDESBERG</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60082-2023</t>
        </is>
      </c>
      <c r="B1293" s="1" t="n">
        <v>45258</v>
      </c>
      <c r="C1293" s="1" t="n">
        <v>45952</v>
      </c>
      <c r="D1293" t="inlineStr">
        <is>
          <t>ÖREBRO LÄN</t>
        </is>
      </c>
      <c r="E1293" t="inlineStr">
        <is>
          <t>HALLSBERG</t>
        </is>
      </c>
      <c r="F1293" t="inlineStr">
        <is>
          <t>Sveaskog</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5762-2024</t>
        </is>
      </c>
      <c r="B1294" s="1" t="n">
        <v>45335</v>
      </c>
      <c r="C1294" s="1" t="n">
        <v>45952</v>
      </c>
      <c r="D1294" t="inlineStr">
        <is>
          <t>ÖREBRO LÄN</t>
        </is>
      </c>
      <c r="E1294" t="inlineStr">
        <is>
          <t>HÄLLEFORS</t>
        </is>
      </c>
      <c r="G1294" t="n">
        <v>12.1</v>
      </c>
      <c r="H1294" t="n">
        <v>0</v>
      </c>
      <c r="I1294" t="n">
        <v>0</v>
      </c>
      <c r="J1294" t="n">
        <v>0</v>
      </c>
      <c r="K1294" t="n">
        <v>0</v>
      </c>
      <c r="L1294" t="n">
        <v>0</v>
      </c>
      <c r="M1294" t="n">
        <v>0</v>
      </c>
      <c r="N1294" t="n">
        <v>0</v>
      </c>
      <c r="O1294" t="n">
        <v>0</v>
      </c>
      <c r="P1294" t="n">
        <v>0</v>
      </c>
      <c r="Q1294" t="n">
        <v>0</v>
      </c>
      <c r="R1294" s="2" t="inlineStr"/>
    </row>
    <row r="1295" ht="15" customHeight="1">
      <c r="A1295" t="inlineStr">
        <is>
          <t>A 48860-2022</t>
        </is>
      </c>
      <c r="B1295" s="1" t="n">
        <v>44859.69508101852</v>
      </c>
      <c r="C1295" s="1" t="n">
        <v>45952</v>
      </c>
      <c r="D1295" t="inlineStr">
        <is>
          <t>ÖREBRO LÄN</t>
        </is>
      </c>
      <c r="E1295" t="inlineStr">
        <is>
          <t>ASKERSUND</t>
        </is>
      </c>
      <c r="G1295" t="n">
        <v>3.6</v>
      </c>
      <c r="H1295" t="n">
        <v>0</v>
      </c>
      <c r="I1295" t="n">
        <v>0</v>
      </c>
      <c r="J1295" t="n">
        <v>0</v>
      </c>
      <c r="K1295" t="n">
        <v>0</v>
      </c>
      <c r="L1295" t="n">
        <v>0</v>
      </c>
      <c r="M1295" t="n">
        <v>0</v>
      </c>
      <c r="N1295" t="n">
        <v>0</v>
      </c>
      <c r="O1295" t="n">
        <v>0</v>
      </c>
      <c r="P1295" t="n">
        <v>0</v>
      </c>
      <c r="Q1295" t="n">
        <v>0</v>
      </c>
      <c r="R1295" s="2" t="inlineStr"/>
    </row>
    <row r="1296" ht="15" customHeight="1">
      <c r="A1296" t="inlineStr">
        <is>
          <t>A 11459-2024</t>
        </is>
      </c>
      <c r="B1296" s="1" t="n">
        <v>45372.58425925926</v>
      </c>
      <c r="C1296" s="1" t="n">
        <v>45952</v>
      </c>
      <c r="D1296" t="inlineStr">
        <is>
          <t>ÖREBRO LÄN</t>
        </is>
      </c>
      <c r="E1296" t="inlineStr">
        <is>
          <t>HÄLLEFORS</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12559-2025</t>
        </is>
      </c>
      <c r="B1297" s="1" t="n">
        <v>45731.47399305556</v>
      </c>
      <c r="C1297" s="1" t="n">
        <v>45952</v>
      </c>
      <c r="D1297" t="inlineStr">
        <is>
          <t>ÖREBRO LÄN</t>
        </is>
      </c>
      <c r="E1297" t="inlineStr">
        <is>
          <t>HÄLLEFORS</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55832-2023</t>
        </is>
      </c>
      <c r="B1298" s="1" t="n">
        <v>45239.61148148148</v>
      </c>
      <c r="C1298" s="1" t="n">
        <v>45952</v>
      </c>
      <c r="D1298" t="inlineStr">
        <is>
          <t>ÖREBRO LÄN</t>
        </is>
      </c>
      <c r="E1298" t="inlineStr">
        <is>
          <t>KARLSKOGA</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12692-2024</t>
        </is>
      </c>
      <c r="B1299" s="1" t="n">
        <v>45384.43418981481</v>
      </c>
      <c r="C1299" s="1" t="n">
        <v>45952</v>
      </c>
      <c r="D1299" t="inlineStr">
        <is>
          <t>ÖREBRO LÄN</t>
        </is>
      </c>
      <c r="E1299" t="inlineStr">
        <is>
          <t>LINDESBERG</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44978-2021</t>
        </is>
      </c>
      <c r="B1300" s="1" t="n">
        <v>44438</v>
      </c>
      <c r="C1300" s="1" t="n">
        <v>45952</v>
      </c>
      <c r="D1300" t="inlineStr">
        <is>
          <t>ÖREBRO LÄN</t>
        </is>
      </c>
      <c r="E1300" t="inlineStr">
        <is>
          <t>ASKERSUND</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48365-2021</t>
        </is>
      </c>
      <c r="B1301" s="1" t="n">
        <v>44451.78710648148</v>
      </c>
      <c r="C1301" s="1" t="n">
        <v>45952</v>
      </c>
      <c r="D1301" t="inlineStr">
        <is>
          <t>ÖREBRO LÄN</t>
        </is>
      </c>
      <c r="E1301" t="inlineStr">
        <is>
          <t>LINDESBERG</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34164-2022</t>
        </is>
      </c>
      <c r="B1302" s="1" t="n">
        <v>44791.58640046296</v>
      </c>
      <c r="C1302" s="1" t="n">
        <v>45952</v>
      </c>
      <c r="D1302" t="inlineStr">
        <is>
          <t>ÖREBRO LÄN</t>
        </is>
      </c>
      <c r="E1302" t="inlineStr">
        <is>
          <t>NORA</t>
        </is>
      </c>
      <c r="F1302" t="inlineStr">
        <is>
          <t>Sveaskog</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41762-2021</t>
        </is>
      </c>
      <c r="B1303" s="1" t="n">
        <v>44425.63494212963</v>
      </c>
      <c r="C1303" s="1" t="n">
        <v>45952</v>
      </c>
      <c r="D1303" t="inlineStr">
        <is>
          <t>ÖREBRO LÄN</t>
        </is>
      </c>
      <c r="E1303" t="inlineStr">
        <is>
          <t>ASKERSUND</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56040-2024</t>
        </is>
      </c>
      <c r="B1304" s="1" t="n">
        <v>45624.3344212963</v>
      </c>
      <c r="C1304" s="1" t="n">
        <v>45952</v>
      </c>
      <c r="D1304" t="inlineStr">
        <is>
          <t>ÖREBRO LÄN</t>
        </is>
      </c>
      <c r="E1304" t="inlineStr">
        <is>
          <t>ÖREBRO</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8898-2022</t>
        </is>
      </c>
      <c r="B1305" s="1" t="n">
        <v>44614</v>
      </c>
      <c r="C1305" s="1" t="n">
        <v>45952</v>
      </c>
      <c r="D1305" t="inlineStr">
        <is>
          <t>ÖREBRO LÄN</t>
        </is>
      </c>
      <c r="E1305" t="inlineStr">
        <is>
          <t>LAXÅ</t>
        </is>
      </c>
      <c r="F1305" t="inlineStr">
        <is>
          <t>Kyrkan</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13758-2023</t>
        </is>
      </c>
      <c r="B1306" s="1" t="n">
        <v>45007.42528935185</v>
      </c>
      <c r="C1306" s="1" t="n">
        <v>45952</v>
      </c>
      <c r="D1306" t="inlineStr">
        <is>
          <t>ÖREBRO LÄN</t>
        </is>
      </c>
      <c r="E1306" t="inlineStr">
        <is>
          <t>HÄLLEFORS</t>
        </is>
      </c>
      <c r="F1306" t="inlineStr">
        <is>
          <t>Bergvik skog väst AB</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13762-2023</t>
        </is>
      </c>
      <c r="B1307" s="1" t="n">
        <v>45007.43729166667</v>
      </c>
      <c r="C1307" s="1" t="n">
        <v>45952</v>
      </c>
      <c r="D1307" t="inlineStr">
        <is>
          <t>ÖREBRO LÄN</t>
        </is>
      </c>
      <c r="E1307" t="inlineStr">
        <is>
          <t>ÖREBRO</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61594-2024</t>
        </is>
      </c>
      <c r="B1308" s="1" t="n">
        <v>45646.63482638889</v>
      </c>
      <c r="C1308" s="1" t="n">
        <v>45952</v>
      </c>
      <c r="D1308" t="inlineStr">
        <is>
          <t>ÖREBRO LÄN</t>
        </is>
      </c>
      <c r="E1308" t="inlineStr">
        <is>
          <t>LINDESBERG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33252-2024</t>
        </is>
      </c>
      <c r="B1309" s="1" t="n">
        <v>45518.64752314815</v>
      </c>
      <c r="C1309" s="1" t="n">
        <v>45952</v>
      </c>
      <c r="D1309" t="inlineStr">
        <is>
          <t>ÖREBRO LÄN</t>
        </is>
      </c>
      <c r="E1309" t="inlineStr">
        <is>
          <t>HALLSBERG</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46263-2021</t>
        </is>
      </c>
      <c r="B1310" s="1" t="n">
        <v>44442.55688657407</v>
      </c>
      <c r="C1310" s="1" t="n">
        <v>45952</v>
      </c>
      <c r="D1310" t="inlineStr">
        <is>
          <t>ÖREBRO LÄN</t>
        </is>
      </c>
      <c r="E1310" t="inlineStr">
        <is>
          <t>LJUSNARSBERG</t>
        </is>
      </c>
      <c r="G1310" t="n">
        <v>8.699999999999999</v>
      </c>
      <c r="H1310" t="n">
        <v>0</v>
      </c>
      <c r="I1310" t="n">
        <v>0</v>
      </c>
      <c r="J1310" t="n">
        <v>0</v>
      </c>
      <c r="K1310" t="n">
        <v>0</v>
      </c>
      <c r="L1310" t="n">
        <v>0</v>
      </c>
      <c r="M1310" t="n">
        <v>0</v>
      </c>
      <c r="N1310" t="n">
        <v>0</v>
      </c>
      <c r="O1310" t="n">
        <v>0</v>
      </c>
      <c r="P1310" t="n">
        <v>0</v>
      </c>
      <c r="Q1310" t="n">
        <v>0</v>
      </c>
      <c r="R1310" s="2" t="inlineStr"/>
    </row>
    <row r="1311" ht="15" customHeight="1">
      <c r="A1311" t="inlineStr">
        <is>
          <t>A 38245-2022</t>
        </is>
      </c>
      <c r="B1311" s="1" t="n">
        <v>44812.48020833333</v>
      </c>
      <c r="C1311" s="1" t="n">
        <v>45952</v>
      </c>
      <c r="D1311" t="inlineStr">
        <is>
          <t>ÖREBRO LÄN</t>
        </is>
      </c>
      <c r="E1311" t="inlineStr">
        <is>
          <t>HÄLLEFORS</t>
        </is>
      </c>
      <c r="G1311" t="n">
        <v>2.4</v>
      </c>
      <c r="H1311" t="n">
        <v>0</v>
      </c>
      <c r="I1311" t="n">
        <v>0</v>
      </c>
      <c r="J1311" t="n">
        <v>0</v>
      </c>
      <c r="K1311" t="n">
        <v>0</v>
      </c>
      <c r="L1311" t="n">
        <v>0</v>
      </c>
      <c r="M1311" t="n">
        <v>0</v>
      </c>
      <c r="N1311" t="n">
        <v>0</v>
      </c>
      <c r="O1311" t="n">
        <v>0</v>
      </c>
      <c r="P1311" t="n">
        <v>0</v>
      </c>
      <c r="Q1311" t="n">
        <v>0</v>
      </c>
      <c r="R1311" s="2" t="inlineStr"/>
    </row>
    <row r="1312" ht="15" customHeight="1">
      <c r="A1312" t="inlineStr">
        <is>
          <t>A 12302-2022</t>
        </is>
      </c>
      <c r="B1312" s="1" t="n">
        <v>44637</v>
      </c>
      <c r="C1312" s="1" t="n">
        <v>45952</v>
      </c>
      <c r="D1312" t="inlineStr">
        <is>
          <t>ÖREBRO LÄN</t>
        </is>
      </c>
      <c r="E1312" t="inlineStr">
        <is>
          <t>ASKERSUND</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17115-2025</t>
        </is>
      </c>
      <c r="B1313" s="1" t="n">
        <v>45755.68247685185</v>
      </c>
      <c r="C1313" s="1" t="n">
        <v>45952</v>
      </c>
      <c r="D1313" t="inlineStr">
        <is>
          <t>ÖREBRO LÄN</t>
        </is>
      </c>
      <c r="E1313" t="inlineStr">
        <is>
          <t>LINDESBERG</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14487-2023</t>
        </is>
      </c>
      <c r="B1314" s="1" t="n">
        <v>45012</v>
      </c>
      <c r="C1314" s="1" t="n">
        <v>45952</v>
      </c>
      <c r="D1314" t="inlineStr">
        <is>
          <t>ÖREBRO LÄN</t>
        </is>
      </c>
      <c r="E1314" t="inlineStr">
        <is>
          <t>ÖREBRO</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34676-2023</t>
        </is>
      </c>
      <c r="B1315" s="1" t="n">
        <v>45140</v>
      </c>
      <c r="C1315" s="1" t="n">
        <v>45952</v>
      </c>
      <c r="D1315" t="inlineStr">
        <is>
          <t>ÖREBRO LÄN</t>
        </is>
      </c>
      <c r="E1315" t="inlineStr">
        <is>
          <t>LINDESBERG</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38738-2022</t>
        </is>
      </c>
      <c r="B1316" s="1" t="n">
        <v>44816.34217592593</v>
      </c>
      <c r="C1316" s="1" t="n">
        <v>45952</v>
      </c>
      <c r="D1316" t="inlineStr">
        <is>
          <t>ÖREBRO LÄN</t>
        </is>
      </c>
      <c r="E1316" t="inlineStr">
        <is>
          <t>DEGERFORS</t>
        </is>
      </c>
      <c r="F1316" t="inlineStr">
        <is>
          <t>Sveaskog</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60022-2024</t>
        </is>
      </c>
      <c r="B1317" s="1" t="n">
        <v>45642</v>
      </c>
      <c r="C1317" s="1" t="n">
        <v>45952</v>
      </c>
      <c r="D1317" t="inlineStr">
        <is>
          <t>ÖREBRO LÄN</t>
        </is>
      </c>
      <c r="E1317" t="inlineStr">
        <is>
          <t>ÖREBRO</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17811-2025</t>
        </is>
      </c>
      <c r="B1318" s="1" t="n">
        <v>45758.5594212963</v>
      </c>
      <c r="C1318" s="1" t="n">
        <v>45952</v>
      </c>
      <c r="D1318" t="inlineStr">
        <is>
          <t>ÖREBRO LÄN</t>
        </is>
      </c>
      <c r="E1318" t="inlineStr">
        <is>
          <t>HÄLLEFORS</t>
        </is>
      </c>
      <c r="F1318" t="inlineStr">
        <is>
          <t>Sveaskog</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17920-2025</t>
        </is>
      </c>
      <c r="B1319" s="1" t="n">
        <v>45758</v>
      </c>
      <c r="C1319" s="1" t="n">
        <v>45952</v>
      </c>
      <c r="D1319" t="inlineStr">
        <is>
          <t>ÖREBRO LÄN</t>
        </is>
      </c>
      <c r="E1319" t="inlineStr">
        <is>
          <t>KUMLA</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16447-2025</t>
        </is>
      </c>
      <c r="B1320" s="1" t="n">
        <v>45751.50498842593</v>
      </c>
      <c r="C1320" s="1" t="n">
        <v>45952</v>
      </c>
      <c r="D1320" t="inlineStr">
        <is>
          <t>ÖREBRO LÄN</t>
        </is>
      </c>
      <c r="E1320" t="inlineStr">
        <is>
          <t>LINDESBERG</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18675-2025</t>
        </is>
      </c>
      <c r="B1321" s="1" t="n">
        <v>45763.59862268518</v>
      </c>
      <c r="C1321" s="1" t="n">
        <v>45952</v>
      </c>
      <c r="D1321" t="inlineStr">
        <is>
          <t>ÖREBRO LÄN</t>
        </is>
      </c>
      <c r="E1321" t="inlineStr">
        <is>
          <t>DEGERFORS</t>
        </is>
      </c>
      <c r="G1321" t="n">
        <v>6</v>
      </c>
      <c r="H1321" t="n">
        <v>0</v>
      </c>
      <c r="I1321" t="n">
        <v>0</v>
      </c>
      <c r="J1321" t="n">
        <v>0</v>
      </c>
      <c r="K1321" t="n">
        <v>0</v>
      </c>
      <c r="L1321" t="n">
        <v>0</v>
      </c>
      <c r="M1321" t="n">
        <v>0</v>
      </c>
      <c r="N1321" t="n">
        <v>0</v>
      </c>
      <c r="O1321" t="n">
        <v>0</v>
      </c>
      <c r="P1321" t="n">
        <v>0</v>
      </c>
      <c r="Q1321" t="n">
        <v>0</v>
      </c>
      <c r="R1321" s="2" t="inlineStr"/>
    </row>
    <row r="1322" ht="15" customHeight="1">
      <c r="A1322" t="inlineStr">
        <is>
          <t>A 27130-2024</t>
        </is>
      </c>
      <c r="B1322" s="1" t="n">
        <v>45471.52072916667</v>
      </c>
      <c r="C1322" s="1" t="n">
        <v>45952</v>
      </c>
      <c r="D1322" t="inlineStr">
        <is>
          <t>ÖREBRO LÄN</t>
        </is>
      </c>
      <c r="E1322" t="inlineStr">
        <is>
          <t>LINDESBERG</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6452-2024</t>
        </is>
      </c>
      <c r="B1323" s="1" t="n">
        <v>45338</v>
      </c>
      <c r="C1323" s="1" t="n">
        <v>45952</v>
      </c>
      <c r="D1323" t="inlineStr">
        <is>
          <t>ÖREBRO LÄN</t>
        </is>
      </c>
      <c r="E1323" t="inlineStr">
        <is>
          <t>LAXÅ</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26778-2023</t>
        </is>
      </c>
      <c r="B1324" s="1" t="n">
        <v>45093.48221064815</v>
      </c>
      <c r="C1324" s="1" t="n">
        <v>45952</v>
      </c>
      <c r="D1324" t="inlineStr">
        <is>
          <t>ÖREBRO LÄN</t>
        </is>
      </c>
      <c r="E1324" t="inlineStr">
        <is>
          <t>LINDESBERG</t>
        </is>
      </c>
      <c r="G1324" t="n">
        <v>7.5</v>
      </c>
      <c r="H1324" t="n">
        <v>0</v>
      </c>
      <c r="I1324" t="n">
        <v>0</v>
      </c>
      <c r="J1324" t="n">
        <v>0</v>
      </c>
      <c r="K1324" t="n">
        <v>0</v>
      </c>
      <c r="L1324" t="n">
        <v>0</v>
      </c>
      <c r="M1324" t="n">
        <v>0</v>
      </c>
      <c r="N1324" t="n">
        <v>0</v>
      </c>
      <c r="O1324" t="n">
        <v>0</v>
      </c>
      <c r="P1324" t="n">
        <v>0</v>
      </c>
      <c r="Q1324" t="n">
        <v>0</v>
      </c>
      <c r="R1324" s="2" t="inlineStr"/>
    </row>
    <row r="1325" ht="15" customHeight="1">
      <c r="A1325" t="inlineStr">
        <is>
          <t>A 45216-2023</t>
        </is>
      </c>
      <c r="B1325" s="1" t="n">
        <v>45191</v>
      </c>
      <c r="C1325" s="1" t="n">
        <v>45952</v>
      </c>
      <c r="D1325" t="inlineStr">
        <is>
          <t>ÖREBRO LÄN</t>
        </is>
      </c>
      <c r="E1325" t="inlineStr">
        <is>
          <t>NORA</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9511-2025</t>
        </is>
      </c>
      <c r="B1326" s="1" t="n">
        <v>45715.53921296296</v>
      </c>
      <c r="C1326" s="1" t="n">
        <v>45952</v>
      </c>
      <c r="D1326" t="inlineStr">
        <is>
          <t>ÖREBRO LÄN</t>
        </is>
      </c>
      <c r="E1326" t="inlineStr">
        <is>
          <t>DEGERFORS</t>
        </is>
      </c>
      <c r="F1326" t="inlineStr">
        <is>
          <t>Sveaskog</t>
        </is>
      </c>
      <c r="G1326" t="n">
        <v>7.1</v>
      </c>
      <c r="H1326" t="n">
        <v>0</v>
      </c>
      <c r="I1326" t="n">
        <v>0</v>
      </c>
      <c r="J1326" t="n">
        <v>0</v>
      </c>
      <c r="K1326" t="n">
        <v>0</v>
      </c>
      <c r="L1326" t="n">
        <v>0</v>
      </c>
      <c r="M1326" t="n">
        <v>0</v>
      </c>
      <c r="N1326" t="n">
        <v>0</v>
      </c>
      <c r="O1326" t="n">
        <v>0</v>
      </c>
      <c r="P1326" t="n">
        <v>0</v>
      </c>
      <c r="Q1326" t="n">
        <v>0</v>
      </c>
      <c r="R1326" s="2" t="inlineStr"/>
    </row>
    <row r="1327" ht="15" customHeight="1">
      <c r="A1327" t="inlineStr">
        <is>
          <t>A 18888-2025</t>
        </is>
      </c>
      <c r="B1327" s="1" t="n">
        <v>45764.44396990741</v>
      </c>
      <c r="C1327" s="1" t="n">
        <v>45952</v>
      </c>
      <c r="D1327" t="inlineStr">
        <is>
          <t>ÖREBRO LÄN</t>
        </is>
      </c>
      <c r="E1327" t="inlineStr">
        <is>
          <t>HÄLLEFORS</t>
        </is>
      </c>
      <c r="F1327" t="inlineStr">
        <is>
          <t>Bergvik skog väst AB</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60128-2023</t>
        </is>
      </c>
      <c r="B1328" s="1" t="n">
        <v>45258</v>
      </c>
      <c r="C1328" s="1" t="n">
        <v>45952</v>
      </c>
      <c r="D1328" t="inlineStr">
        <is>
          <t>ÖREBRO LÄN</t>
        </is>
      </c>
      <c r="E1328" t="inlineStr">
        <is>
          <t>ÖREBRO</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23372-2022</t>
        </is>
      </c>
      <c r="B1329" s="1" t="n">
        <v>44720.61091435186</v>
      </c>
      <c r="C1329" s="1" t="n">
        <v>45952</v>
      </c>
      <c r="D1329" t="inlineStr">
        <is>
          <t>ÖREBRO LÄN</t>
        </is>
      </c>
      <c r="E1329" t="inlineStr">
        <is>
          <t>LJUSNARSBERG</t>
        </is>
      </c>
      <c r="F1329" t="inlineStr">
        <is>
          <t>Bergvik skog väst AB</t>
        </is>
      </c>
      <c r="G1329" t="n">
        <v>11.2</v>
      </c>
      <c r="H1329" t="n">
        <v>0</v>
      </c>
      <c r="I1329" t="n">
        <v>0</v>
      </c>
      <c r="J1329" t="n">
        <v>0</v>
      </c>
      <c r="K1329" t="n">
        <v>0</v>
      </c>
      <c r="L1329" t="n">
        <v>0</v>
      </c>
      <c r="M1329" t="n">
        <v>0</v>
      </c>
      <c r="N1329" t="n">
        <v>0</v>
      </c>
      <c r="O1329" t="n">
        <v>0</v>
      </c>
      <c r="P1329" t="n">
        <v>0</v>
      </c>
      <c r="Q1329" t="n">
        <v>0</v>
      </c>
      <c r="R1329" s="2" t="inlineStr"/>
    </row>
    <row r="1330" ht="15" customHeight="1">
      <c r="A1330" t="inlineStr">
        <is>
          <t>A 9185-2025</t>
        </is>
      </c>
      <c r="B1330" s="1" t="n">
        <v>45714.44074074074</v>
      </c>
      <c r="C1330" s="1" t="n">
        <v>45952</v>
      </c>
      <c r="D1330" t="inlineStr">
        <is>
          <t>ÖREBRO LÄN</t>
        </is>
      </c>
      <c r="E1330" t="inlineStr">
        <is>
          <t>HALLSBERG</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67819-2020</t>
        </is>
      </c>
      <c r="B1331" s="1" t="n">
        <v>44182</v>
      </c>
      <c r="C1331" s="1" t="n">
        <v>45952</v>
      </c>
      <c r="D1331" t="inlineStr">
        <is>
          <t>ÖREBRO LÄN</t>
        </is>
      </c>
      <c r="E1331" t="inlineStr">
        <is>
          <t>LAXÅ</t>
        </is>
      </c>
      <c r="F1331" t="inlineStr">
        <is>
          <t>Sveaskog</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10470-2025</t>
        </is>
      </c>
      <c r="B1332" s="1" t="n">
        <v>45720</v>
      </c>
      <c r="C1332" s="1" t="n">
        <v>45952</v>
      </c>
      <c r="D1332" t="inlineStr">
        <is>
          <t>ÖREBRO LÄN</t>
        </is>
      </c>
      <c r="E1332" t="inlineStr">
        <is>
          <t>ÖREBRO</t>
        </is>
      </c>
      <c r="G1332" t="n">
        <v>11.5</v>
      </c>
      <c r="H1332" t="n">
        <v>0</v>
      </c>
      <c r="I1332" t="n">
        <v>0</v>
      </c>
      <c r="J1332" t="n">
        <v>0</v>
      </c>
      <c r="K1332" t="n">
        <v>0</v>
      </c>
      <c r="L1332" t="n">
        <v>0</v>
      </c>
      <c r="M1332" t="n">
        <v>0</v>
      </c>
      <c r="N1332" t="n">
        <v>0</v>
      </c>
      <c r="O1332" t="n">
        <v>0</v>
      </c>
      <c r="P1332" t="n">
        <v>0</v>
      </c>
      <c r="Q1332" t="n">
        <v>0</v>
      </c>
      <c r="R1332" s="2" t="inlineStr"/>
    </row>
    <row r="1333" ht="15" customHeight="1">
      <c r="A1333" t="inlineStr">
        <is>
          <t>A 31549-2021</t>
        </is>
      </c>
      <c r="B1333" s="1" t="n">
        <v>44369</v>
      </c>
      <c r="C1333" s="1" t="n">
        <v>45952</v>
      </c>
      <c r="D1333" t="inlineStr">
        <is>
          <t>ÖREBRO LÄN</t>
        </is>
      </c>
      <c r="E1333" t="inlineStr">
        <is>
          <t>LJUSNARSBERG</t>
        </is>
      </c>
      <c r="F1333" t="inlineStr">
        <is>
          <t>Bergvik skog väst AB</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67626-2020</t>
        </is>
      </c>
      <c r="B1334" s="1" t="n">
        <v>44182</v>
      </c>
      <c r="C1334" s="1" t="n">
        <v>45952</v>
      </c>
      <c r="D1334" t="inlineStr">
        <is>
          <t>ÖREBRO LÄN</t>
        </is>
      </c>
      <c r="E1334" t="inlineStr">
        <is>
          <t>LAXÅ</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5217-2022</t>
        </is>
      </c>
      <c r="B1335" s="1" t="n">
        <v>44593</v>
      </c>
      <c r="C1335" s="1" t="n">
        <v>45952</v>
      </c>
      <c r="D1335" t="inlineStr">
        <is>
          <t>ÖREBRO LÄN</t>
        </is>
      </c>
      <c r="E1335" t="inlineStr">
        <is>
          <t>NORA</t>
        </is>
      </c>
      <c r="F1335" t="inlineStr">
        <is>
          <t>Övriga Aktiebolag</t>
        </is>
      </c>
      <c r="G1335" t="n">
        <v>38.4</v>
      </c>
      <c r="H1335" t="n">
        <v>0</v>
      </c>
      <c r="I1335" t="n">
        <v>0</v>
      </c>
      <c r="J1335" t="n">
        <v>0</v>
      </c>
      <c r="K1335" t="n">
        <v>0</v>
      </c>
      <c r="L1335" t="n">
        <v>0</v>
      </c>
      <c r="M1335" t="n">
        <v>0</v>
      </c>
      <c r="N1335" t="n">
        <v>0</v>
      </c>
      <c r="O1335" t="n">
        <v>0</v>
      </c>
      <c r="P1335" t="n">
        <v>0</v>
      </c>
      <c r="Q1335" t="n">
        <v>0</v>
      </c>
      <c r="R1335" s="2" t="inlineStr"/>
    </row>
    <row r="1336" ht="15" customHeight="1">
      <c r="A1336" t="inlineStr">
        <is>
          <t>A 14669-2025</t>
        </is>
      </c>
      <c r="B1336" s="1" t="n">
        <v>45742.55043981481</v>
      </c>
      <c r="C1336" s="1" t="n">
        <v>45952</v>
      </c>
      <c r="D1336" t="inlineStr">
        <is>
          <t>ÖREBRO LÄN</t>
        </is>
      </c>
      <c r="E1336" t="inlineStr">
        <is>
          <t>HÄLLEFORS</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64419-2023</t>
        </is>
      </c>
      <c r="B1337" s="1" t="n">
        <v>45280.65321759259</v>
      </c>
      <c r="C1337" s="1" t="n">
        <v>45952</v>
      </c>
      <c r="D1337" t="inlineStr">
        <is>
          <t>ÖREBRO LÄN</t>
        </is>
      </c>
      <c r="E1337" t="inlineStr">
        <is>
          <t>HALLSBERG</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38615-2024</t>
        </is>
      </c>
      <c r="B1338" s="1" t="n">
        <v>45546.70100694444</v>
      </c>
      <c r="C1338" s="1" t="n">
        <v>45952</v>
      </c>
      <c r="D1338" t="inlineStr">
        <is>
          <t>ÖREBRO LÄN</t>
        </is>
      </c>
      <c r="E1338" t="inlineStr">
        <is>
          <t>KUMLA</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14677-2025</t>
        </is>
      </c>
      <c r="B1339" s="1" t="n">
        <v>45742.56465277778</v>
      </c>
      <c r="C1339" s="1" t="n">
        <v>45952</v>
      </c>
      <c r="D1339" t="inlineStr">
        <is>
          <t>ÖREBRO LÄN</t>
        </is>
      </c>
      <c r="E1339" t="inlineStr">
        <is>
          <t>DEGERFORS</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2569-2023</t>
        </is>
      </c>
      <c r="B1340" s="1" t="n">
        <v>44943.73792824074</v>
      </c>
      <c r="C1340" s="1" t="n">
        <v>45952</v>
      </c>
      <c r="D1340" t="inlineStr">
        <is>
          <t>ÖREBRO LÄN</t>
        </is>
      </c>
      <c r="E1340" t="inlineStr">
        <is>
          <t>LINDESBERG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52623-2024</t>
        </is>
      </c>
      <c r="B1341" s="1" t="n">
        <v>45609</v>
      </c>
      <c r="C1341" s="1" t="n">
        <v>45952</v>
      </c>
      <c r="D1341" t="inlineStr">
        <is>
          <t>ÖREBRO LÄN</t>
        </is>
      </c>
      <c r="E1341" t="inlineStr">
        <is>
          <t>ÖREBRO</t>
        </is>
      </c>
      <c r="F1341" t="inlineStr">
        <is>
          <t>Kommuner</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6181-2021</t>
        </is>
      </c>
      <c r="B1342" s="1" t="n">
        <v>44232</v>
      </c>
      <c r="C1342" s="1" t="n">
        <v>45952</v>
      </c>
      <c r="D1342" t="inlineStr">
        <is>
          <t>ÖREBRO LÄN</t>
        </is>
      </c>
      <c r="E1342" t="inlineStr">
        <is>
          <t>NORA</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58020-2021</t>
        </is>
      </c>
      <c r="B1343" s="1" t="n">
        <v>44484</v>
      </c>
      <c r="C1343" s="1" t="n">
        <v>45952</v>
      </c>
      <c r="D1343" t="inlineStr">
        <is>
          <t>ÖREBRO LÄN</t>
        </is>
      </c>
      <c r="E1343" t="inlineStr">
        <is>
          <t>LEKEBERG</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18503-2025</t>
        </is>
      </c>
      <c r="B1344" s="1" t="n">
        <v>45763.37480324074</v>
      </c>
      <c r="C1344" s="1" t="n">
        <v>45952</v>
      </c>
      <c r="D1344" t="inlineStr">
        <is>
          <t>ÖREBRO LÄN</t>
        </is>
      </c>
      <c r="E1344" t="inlineStr">
        <is>
          <t>HÄLLEFORS</t>
        </is>
      </c>
      <c r="F1344" t="inlineStr">
        <is>
          <t>Bergvik skog väst AB</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18047-2023</t>
        </is>
      </c>
      <c r="B1345" s="1" t="n">
        <v>45040</v>
      </c>
      <c r="C1345" s="1" t="n">
        <v>45952</v>
      </c>
      <c r="D1345" t="inlineStr">
        <is>
          <t>ÖREBRO LÄN</t>
        </is>
      </c>
      <c r="E1345" t="inlineStr">
        <is>
          <t>ÖREBRO</t>
        </is>
      </c>
      <c r="G1345" t="n">
        <v>3.9</v>
      </c>
      <c r="H1345" t="n">
        <v>0</v>
      </c>
      <c r="I1345" t="n">
        <v>0</v>
      </c>
      <c r="J1345" t="n">
        <v>0</v>
      </c>
      <c r="K1345" t="n">
        <v>0</v>
      </c>
      <c r="L1345" t="n">
        <v>0</v>
      </c>
      <c r="M1345" t="n">
        <v>0</v>
      </c>
      <c r="N1345" t="n">
        <v>0</v>
      </c>
      <c r="O1345" t="n">
        <v>0</v>
      </c>
      <c r="P1345" t="n">
        <v>0</v>
      </c>
      <c r="Q1345" t="n">
        <v>0</v>
      </c>
      <c r="R1345" s="2" t="inlineStr"/>
    </row>
    <row r="1346" ht="15" customHeight="1">
      <c r="A1346" t="inlineStr">
        <is>
          <t>A 17700-2025</t>
        </is>
      </c>
      <c r="B1346" s="1" t="n">
        <v>45758</v>
      </c>
      <c r="C1346" s="1" t="n">
        <v>45952</v>
      </c>
      <c r="D1346" t="inlineStr">
        <is>
          <t>ÖREBRO LÄN</t>
        </is>
      </c>
      <c r="E1346" t="inlineStr">
        <is>
          <t>HALLSBERG</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4102-2025</t>
        </is>
      </c>
      <c r="B1347" s="1" t="n">
        <v>45684.68740740741</v>
      </c>
      <c r="C1347" s="1" t="n">
        <v>45952</v>
      </c>
      <c r="D1347" t="inlineStr">
        <is>
          <t>ÖREBRO LÄN</t>
        </is>
      </c>
      <c r="E1347" t="inlineStr">
        <is>
          <t>KUMLA</t>
        </is>
      </c>
      <c r="G1347" t="n">
        <v>1.6</v>
      </c>
      <c r="H1347" t="n">
        <v>0</v>
      </c>
      <c r="I1347" t="n">
        <v>0</v>
      </c>
      <c r="J1347" t="n">
        <v>0</v>
      </c>
      <c r="K1347" t="n">
        <v>0</v>
      </c>
      <c r="L1347" t="n">
        <v>0</v>
      </c>
      <c r="M1347" t="n">
        <v>0</v>
      </c>
      <c r="N1347" t="n">
        <v>0</v>
      </c>
      <c r="O1347" t="n">
        <v>0</v>
      </c>
      <c r="P1347" t="n">
        <v>0</v>
      </c>
      <c r="Q1347" t="n">
        <v>0</v>
      </c>
      <c r="R1347" s="2" t="inlineStr"/>
    </row>
    <row r="1348" ht="15" customHeight="1">
      <c r="A1348" t="inlineStr">
        <is>
          <t>A 7854-2025</t>
        </is>
      </c>
      <c r="B1348" s="1" t="n">
        <v>45706.67792824074</v>
      </c>
      <c r="C1348" s="1" t="n">
        <v>45952</v>
      </c>
      <c r="D1348" t="inlineStr">
        <is>
          <t>ÖREBRO LÄN</t>
        </is>
      </c>
      <c r="E1348" t="inlineStr">
        <is>
          <t>ASKERSUND</t>
        </is>
      </c>
      <c r="F1348" t="inlineStr">
        <is>
          <t>Kyrkan</t>
        </is>
      </c>
      <c r="G1348" t="n">
        <v>7.6</v>
      </c>
      <c r="H1348" t="n">
        <v>0</v>
      </c>
      <c r="I1348" t="n">
        <v>0</v>
      </c>
      <c r="J1348" t="n">
        <v>0</v>
      </c>
      <c r="K1348" t="n">
        <v>0</v>
      </c>
      <c r="L1348" t="n">
        <v>0</v>
      </c>
      <c r="M1348" t="n">
        <v>0</v>
      </c>
      <c r="N1348" t="n">
        <v>0</v>
      </c>
      <c r="O1348" t="n">
        <v>0</v>
      </c>
      <c r="P1348" t="n">
        <v>0</v>
      </c>
      <c r="Q1348" t="n">
        <v>0</v>
      </c>
      <c r="R1348" s="2" t="inlineStr"/>
    </row>
    <row r="1349" ht="15" customHeight="1">
      <c r="A1349" t="inlineStr">
        <is>
          <t>A 6161-2025</t>
        </is>
      </c>
      <c r="B1349" s="1" t="n">
        <v>45698</v>
      </c>
      <c r="C1349" s="1" t="n">
        <v>45952</v>
      </c>
      <c r="D1349" t="inlineStr">
        <is>
          <t>ÖREBRO LÄN</t>
        </is>
      </c>
      <c r="E1349" t="inlineStr">
        <is>
          <t>LINDESBERG</t>
        </is>
      </c>
      <c r="F1349" t="inlineStr">
        <is>
          <t>Sveaskog</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6165-2025</t>
        </is>
      </c>
      <c r="B1350" s="1" t="n">
        <v>45698</v>
      </c>
      <c r="C1350" s="1" t="n">
        <v>45952</v>
      </c>
      <c r="D1350" t="inlineStr">
        <is>
          <t>ÖREBRO LÄN</t>
        </is>
      </c>
      <c r="E1350" t="inlineStr">
        <is>
          <t>LINDESBERG</t>
        </is>
      </c>
      <c r="F1350" t="inlineStr">
        <is>
          <t>Sveaskog</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7975-2025</t>
        </is>
      </c>
      <c r="B1351" s="1" t="n">
        <v>45707.46203703704</v>
      </c>
      <c r="C1351" s="1" t="n">
        <v>45952</v>
      </c>
      <c r="D1351" t="inlineStr">
        <is>
          <t>ÖREBRO LÄN</t>
        </is>
      </c>
      <c r="E1351" t="inlineStr">
        <is>
          <t>DEGERFORS</t>
        </is>
      </c>
      <c r="F1351" t="inlineStr">
        <is>
          <t>Sveaskog</t>
        </is>
      </c>
      <c r="G1351" t="n">
        <v>5.3</v>
      </c>
      <c r="H1351" t="n">
        <v>0</v>
      </c>
      <c r="I1351" t="n">
        <v>0</v>
      </c>
      <c r="J1351" t="n">
        <v>0</v>
      </c>
      <c r="K1351" t="n">
        <v>0</v>
      </c>
      <c r="L1351" t="n">
        <v>0</v>
      </c>
      <c r="M1351" t="n">
        <v>0</v>
      </c>
      <c r="N1351" t="n">
        <v>0</v>
      </c>
      <c r="O1351" t="n">
        <v>0</v>
      </c>
      <c r="P1351" t="n">
        <v>0</v>
      </c>
      <c r="Q1351" t="n">
        <v>0</v>
      </c>
      <c r="R1351" s="2" t="inlineStr"/>
    </row>
    <row r="1352" ht="15" customHeight="1">
      <c r="A1352" t="inlineStr">
        <is>
          <t>A 19960-2023</t>
        </is>
      </c>
      <c r="B1352" s="1" t="n">
        <v>45054</v>
      </c>
      <c r="C1352" s="1" t="n">
        <v>45952</v>
      </c>
      <c r="D1352" t="inlineStr">
        <is>
          <t>ÖREBRO LÄN</t>
        </is>
      </c>
      <c r="E1352" t="inlineStr">
        <is>
          <t>LINDESBERG</t>
        </is>
      </c>
      <c r="G1352" t="n">
        <v>6.2</v>
      </c>
      <c r="H1352" t="n">
        <v>0</v>
      </c>
      <c r="I1352" t="n">
        <v>0</v>
      </c>
      <c r="J1352" t="n">
        <v>0</v>
      </c>
      <c r="K1352" t="n">
        <v>0</v>
      </c>
      <c r="L1352" t="n">
        <v>0</v>
      </c>
      <c r="M1352" t="n">
        <v>0</v>
      </c>
      <c r="N1352" t="n">
        <v>0</v>
      </c>
      <c r="O1352" t="n">
        <v>0</v>
      </c>
      <c r="P1352" t="n">
        <v>0</v>
      </c>
      <c r="Q1352" t="n">
        <v>0</v>
      </c>
      <c r="R1352" s="2" t="inlineStr"/>
    </row>
    <row r="1353" ht="15" customHeight="1">
      <c r="A1353" t="inlineStr">
        <is>
          <t>A 56272-2023</t>
        </is>
      </c>
      <c r="B1353" s="1" t="n">
        <v>45241</v>
      </c>
      <c r="C1353" s="1" t="n">
        <v>45952</v>
      </c>
      <c r="D1353" t="inlineStr">
        <is>
          <t>ÖREBRO LÄN</t>
        </is>
      </c>
      <c r="E1353" t="inlineStr">
        <is>
          <t>HALLSBERG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49797-2024</t>
        </is>
      </c>
      <c r="B1354" s="1" t="n">
        <v>45597.37265046296</v>
      </c>
      <c r="C1354" s="1" t="n">
        <v>45952</v>
      </c>
      <c r="D1354" t="inlineStr">
        <is>
          <t>ÖREBRO LÄN</t>
        </is>
      </c>
      <c r="E1354" t="inlineStr">
        <is>
          <t>ÖREBRO</t>
        </is>
      </c>
      <c r="G1354" t="n">
        <v>11.6</v>
      </c>
      <c r="H1354" t="n">
        <v>0</v>
      </c>
      <c r="I1354" t="n">
        <v>0</v>
      </c>
      <c r="J1354" t="n">
        <v>0</v>
      </c>
      <c r="K1354" t="n">
        <v>0</v>
      </c>
      <c r="L1354" t="n">
        <v>0</v>
      </c>
      <c r="M1354" t="n">
        <v>0</v>
      </c>
      <c r="N1354" t="n">
        <v>0</v>
      </c>
      <c r="O1354" t="n">
        <v>0</v>
      </c>
      <c r="P1354" t="n">
        <v>0</v>
      </c>
      <c r="Q1354" t="n">
        <v>0</v>
      </c>
      <c r="R1354" s="2" t="inlineStr"/>
    </row>
    <row r="1355" ht="15" customHeight="1">
      <c r="A1355" t="inlineStr">
        <is>
          <t>A 73579-2021</t>
        </is>
      </c>
      <c r="B1355" s="1" t="n">
        <v>44552.34407407408</v>
      </c>
      <c r="C1355" s="1" t="n">
        <v>45952</v>
      </c>
      <c r="D1355" t="inlineStr">
        <is>
          <t>ÖREBRO LÄN</t>
        </is>
      </c>
      <c r="E1355" t="inlineStr">
        <is>
          <t>ASKERSUND</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12696-2025</t>
        </is>
      </c>
      <c r="B1356" s="1" t="n">
        <v>45733.46162037037</v>
      </c>
      <c r="C1356" s="1" t="n">
        <v>45952</v>
      </c>
      <c r="D1356" t="inlineStr">
        <is>
          <t>ÖREBRO LÄN</t>
        </is>
      </c>
      <c r="E1356" t="inlineStr">
        <is>
          <t>ASKERSUND</t>
        </is>
      </c>
      <c r="F1356" t="inlineStr">
        <is>
          <t>Sveaskog</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11291-2025</t>
        </is>
      </c>
      <c r="B1357" s="1" t="n">
        <v>45726.42836805555</v>
      </c>
      <c r="C1357" s="1" t="n">
        <v>45952</v>
      </c>
      <c r="D1357" t="inlineStr">
        <is>
          <t>ÖREBRO LÄN</t>
        </is>
      </c>
      <c r="E1357" t="inlineStr">
        <is>
          <t>LAXÅ</t>
        </is>
      </c>
      <c r="F1357" t="inlineStr">
        <is>
          <t>Sveaskog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11294-2025</t>
        </is>
      </c>
      <c r="B1358" s="1" t="n">
        <v>45726.4325462963</v>
      </c>
      <c r="C1358" s="1" t="n">
        <v>45952</v>
      </c>
      <c r="D1358" t="inlineStr">
        <is>
          <t>ÖREBRO LÄN</t>
        </is>
      </c>
      <c r="E1358" t="inlineStr">
        <is>
          <t>LJUSNARSBERG</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46039-2024</t>
        </is>
      </c>
      <c r="B1359" s="1" t="n">
        <v>45580.73525462963</v>
      </c>
      <c r="C1359" s="1" t="n">
        <v>45952</v>
      </c>
      <c r="D1359" t="inlineStr">
        <is>
          <t>ÖREBRO LÄN</t>
        </is>
      </c>
      <c r="E1359" t="inlineStr">
        <is>
          <t>LINDESBERG</t>
        </is>
      </c>
      <c r="F1359" t="inlineStr">
        <is>
          <t>Sveaskog</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46647-2024</t>
        </is>
      </c>
      <c r="B1360" s="1" t="n">
        <v>45583</v>
      </c>
      <c r="C1360" s="1" t="n">
        <v>45952</v>
      </c>
      <c r="D1360" t="inlineStr">
        <is>
          <t>ÖREBRO LÄN</t>
        </is>
      </c>
      <c r="E1360" t="inlineStr">
        <is>
          <t>LINDESBERG</t>
        </is>
      </c>
      <c r="F1360" t="inlineStr">
        <is>
          <t>Sveaskog</t>
        </is>
      </c>
      <c r="G1360" t="n">
        <v>3.1</v>
      </c>
      <c r="H1360" t="n">
        <v>0</v>
      </c>
      <c r="I1360" t="n">
        <v>0</v>
      </c>
      <c r="J1360" t="n">
        <v>0</v>
      </c>
      <c r="K1360" t="n">
        <v>0</v>
      </c>
      <c r="L1360" t="n">
        <v>0</v>
      </c>
      <c r="M1360" t="n">
        <v>0</v>
      </c>
      <c r="N1360" t="n">
        <v>0</v>
      </c>
      <c r="O1360" t="n">
        <v>0</v>
      </c>
      <c r="P1360" t="n">
        <v>0</v>
      </c>
      <c r="Q1360" t="n">
        <v>0</v>
      </c>
      <c r="R1360" s="2" t="inlineStr"/>
    </row>
    <row r="1361" ht="15" customHeight="1">
      <c r="A1361" t="inlineStr">
        <is>
          <t>A 19368-2025</t>
        </is>
      </c>
      <c r="B1361" s="1" t="n">
        <v>45769</v>
      </c>
      <c r="C1361" s="1" t="n">
        <v>45952</v>
      </c>
      <c r="D1361" t="inlineStr">
        <is>
          <t>ÖREBRO LÄN</t>
        </is>
      </c>
      <c r="E1361" t="inlineStr">
        <is>
          <t>LJUSNARSBERG</t>
        </is>
      </c>
      <c r="F1361" t="inlineStr">
        <is>
          <t>Bergvik skog väst AB</t>
        </is>
      </c>
      <c r="G1361" t="n">
        <v>2.2</v>
      </c>
      <c r="H1361" t="n">
        <v>0</v>
      </c>
      <c r="I1361" t="n">
        <v>0</v>
      </c>
      <c r="J1361" t="n">
        <v>0</v>
      </c>
      <c r="K1361" t="n">
        <v>0</v>
      </c>
      <c r="L1361" t="n">
        <v>0</v>
      </c>
      <c r="M1361" t="n">
        <v>0</v>
      </c>
      <c r="N1361" t="n">
        <v>0</v>
      </c>
      <c r="O1361" t="n">
        <v>0</v>
      </c>
      <c r="P1361" t="n">
        <v>0</v>
      </c>
      <c r="Q1361" t="n">
        <v>0</v>
      </c>
      <c r="R1361" s="2" t="inlineStr"/>
    </row>
    <row r="1362" ht="15" customHeight="1">
      <c r="A1362" t="inlineStr">
        <is>
          <t>A 19392-2025</t>
        </is>
      </c>
      <c r="B1362" s="1" t="n">
        <v>45769.66260416667</v>
      </c>
      <c r="C1362" s="1" t="n">
        <v>45952</v>
      </c>
      <c r="D1362" t="inlineStr">
        <is>
          <t>ÖREBRO LÄN</t>
        </is>
      </c>
      <c r="E1362" t="inlineStr">
        <is>
          <t>LINDESBERG</t>
        </is>
      </c>
      <c r="G1362" t="n">
        <v>6.5</v>
      </c>
      <c r="H1362" t="n">
        <v>0</v>
      </c>
      <c r="I1362" t="n">
        <v>0</v>
      </c>
      <c r="J1362" t="n">
        <v>0</v>
      </c>
      <c r="K1362" t="n">
        <v>0</v>
      </c>
      <c r="L1362" t="n">
        <v>0</v>
      </c>
      <c r="M1362" t="n">
        <v>0</v>
      </c>
      <c r="N1362" t="n">
        <v>0</v>
      </c>
      <c r="O1362" t="n">
        <v>0</v>
      </c>
      <c r="P1362" t="n">
        <v>0</v>
      </c>
      <c r="Q1362" t="n">
        <v>0</v>
      </c>
      <c r="R1362" s="2" t="inlineStr"/>
    </row>
    <row r="1363" ht="15" customHeight="1">
      <c r="A1363" t="inlineStr">
        <is>
          <t>A 61580-2023</t>
        </is>
      </c>
      <c r="B1363" s="1" t="n">
        <v>45265</v>
      </c>
      <c r="C1363" s="1" t="n">
        <v>45952</v>
      </c>
      <c r="D1363" t="inlineStr">
        <is>
          <t>ÖREBRO LÄN</t>
        </is>
      </c>
      <c r="E1363" t="inlineStr">
        <is>
          <t>LJUSNARSBERG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2910-2025</t>
        </is>
      </c>
      <c r="B1364" s="1" t="n">
        <v>45677</v>
      </c>
      <c r="C1364" s="1" t="n">
        <v>45952</v>
      </c>
      <c r="D1364" t="inlineStr">
        <is>
          <t>ÖREBRO LÄN</t>
        </is>
      </c>
      <c r="E1364" t="inlineStr">
        <is>
          <t>HALLSBERG</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50026-2024</t>
        </is>
      </c>
      <c r="B1365" s="1" t="n">
        <v>45599.60541666667</v>
      </c>
      <c r="C1365" s="1" t="n">
        <v>45952</v>
      </c>
      <c r="D1365" t="inlineStr">
        <is>
          <t>ÖREBRO LÄN</t>
        </is>
      </c>
      <c r="E1365" t="inlineStr">
        <is>
          <t>ÖREBRO</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61090-2023</t>
        </is>
      </c>
      <c r="B1366" s="1" t="n">
        <v>45261.64101851852</v>
      </c>
      <c r="C1366" s="1" t="n">
        <v>45952</v>
      </c>
      <c r="D1366" t="inlineStr">
        <is>
          <t>ÖREBRO LÄN</t>
        </is>
      </c>
      <c r="E1366" t="inlineStr">
        <is>
          <t>LAXÅ</t>
        </is>
      </c>
      <c r="F1366" t="inlineStr">
        <is>
          <t>Sveaskog</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52566-2023</t>
        </is>
      </c>
      <c r="B1367" s="1" t="n">
        <v>45219</v>
      </c>
      <c r="C1367" s="1" t="n">
        <v>45952</v>
      </c>
      <c r="D1367" t="inlineStr">
        <is>
          <t>ÖREBRO LÄN</t>
        </is>
      </c>
      <c r="E1367" t="inlineStr">
        <is>
          <t>DEGERFORS</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61597-2023</t>
        </is>
      </c>
      <c r="B1368" s="1" t="n">
        <v>45265.49225694445</v>
      </c>
      <c r="C1368" s="1" t="n">
        <v>45952</v>
      </c>
      <c r="D1368" t="inlineStr">
        <is>
          <t>ÖREBRO LÄN</t>
        </is>
      </c>
      <c r="E1368" t="inlineStr">
        <is>
          <t>LINDESBERG</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15626-2025</t>
        </is>
      </c>
      <c r="B1369" s="1" t="n">
        <v>45748.36186342593</v>
      </c>
      <c r="C1369" s="1" t="n">
        <v>45952</v>
      </c>
      <c r="D1369" t="inlineStr">
        <is>
          <t>ÖREBRO LÄN</t>
        </is>
      </c>
      <c r="E1369" t="inlineStr">
        <is>
          <t>KUMLA</t>
        </is>
      </c>
      <c r="G1369" t="n">
        <v>10.9</v>
      </c>
      <c r="H1369" t="n">
        <v>0</v>
      </c>
      <c r="I1369" t="n">
        <v>0</v>
      </c>
      <c r="J1369" t="n">
        <v>0</v>
      </c>
      <c r="K1369" t="n">
        <v>0</v>
      </c>
      <c r="L1369" t="n">
        <v>0</v>
      </c>
      <c r="M1369" t="n">
        <v>0</v>
      </c>
      <c r="N1369" t="n">
        <v>0</v>
      </c>
      <c r="O1369" t="n">
        <v>0</v>
      </c>
      <c r="P1369" t="n">
        <v>0</v>
      </c>
      <c r="Q1369" t="n">
        <v>0</v>
      </c>
      <c r="R1369" s="2" t="inlineStr"/>
    </row>
    <row r="1370" ht="15" customHeight="1">
      <c r="A1370" t="inlineStr">
        <is>
          <t>A 9510-2025</t>
        </is>
      </c>
      <c r="B1370" s="1" t="n">
        <v>45715.53829861111</v>
      </c>
      <c r="C1370" s="1" t="n">
        <v>45952</v>
      </c>
      <c r="D1370" t="inlineStr">
        <is>
          <t>ÖREBRO LÄN</t>
        </is>
      </c>
      <c r="E1370" t="inlineStr">
        <is>
          <t>DEGERFORS</t>
        </is>
      </c>
      <c r="F1370" t="inlineStr">
        <is>
          <t>Sveaskog</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44664-2023</t>
        </is>
      </c>
      <c r="B1371" s="1" t="n">
        <v>45189</v>
      </c>
      <c r="C1371" s="1" t="n">
        <v>45952</v>
      </c>
      <c r="D1371" t="inlineStr">
        <is>
          <t>ÖREBRO LÄN</t>
        </is>
      </c>
      <c r="E1371" t="inlineStr">
        <is>
          <t>LINDESBERG</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7211-2024</t>
        </is>
      </c>
      <c r="B1372" s="1" t="n">
        <v>45344.623125</v>
      </c>
      <c r="C1372" s="1" t="n">
        <v>45952</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51659-2021</t>
        </is>
      </c>
      <c r="B1373" s="1" t="n">
        <v>44462</v>
      </c>
      <c r="C1373" s="1" t="n">
        <v>45952</v>
      </c>
      <c r="D1373" t="inlineStr">
        <is>
          <t>ÖREBRO LÄN</t>
        </is>
      </c>
      <c r="E1373" t="inlineStr">
        <is>
          <t>LEKEBERG</t>
        </is>
      </c>
      <c r="G1373" t="n">
        <v>3.1</v>
      </c>
      <c r="H1373" t="n">
        <v>0</v>
      </c>
      <c r="I1373" t="n">
        <v>0</v>
      </c>
      <c r="J1373" t="n">
        <v>0</v>
      </c>
      <c r="K1373" t="n">
        <v>0</v>
      </c>
      <c r="L1373" t="n">
        <v>0</v>
      </c>
      <c r="M1373" t="n">
        <v>0</v>
      </c>
      <c r="N1373" t="n">
        <v>0</v>
      </c>
      <c r="O1373" t="n">
        <v>0</v>
      </c>
      <c r="P1373" t="n">
        <v>0</v>
      </c>
      <c r="Q1373" t="n">
        <v>0</v>
      </c>
      <c r="R1373" s="2" t="inlineStr"/>
    </row>
    <row r="1374" ht="15" customHeight="1">
      <c r="A1374" t="inlineStr">
        <is>
          <t>A 11366-2024</t>
        </is>
      </c>
      <c r="B1374" s="1" t="n">
        <v>45372.40246527778</v>
      </c>
      <c r="C1374" s="1" t="n">
        <v>45952</v>
      </c>
      <c r="D1374" t="inlineStr">
        <is>
          <t>ÖREBRO LÄN</t>
        </is>
      </c>
      <c r="E1374" t="inlineStr">
        <is>
          <t>LINDESBERG</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43247-2023</t>
        </is>
      </c>
      <c r="B1375" s="1" t="n">
        <v>45183.48666666666</v>
      </c>
      <c r="C1375" s="1" t="n">
        <v>45952</v>
      </c>
      <c r="D1375" t="inlineStr">
        <is>
          <t>ÖREBRO LÄN</t>
        </is>
      </c>
      <c r="E1375" t="inlineStr">
        <is>
          <t>LINDESBERG</t>
        </is>
      </c>
      <c r="G1375" t="n">
        <v>3</v>
      </c>
      <c r="H1375" t="n">
        <v>0</v>
      </c>
      <c r="I1375" t="n">
        <v>0</v>
      </c>
      <c r="J1375" t="n">
        <v>0</v>
      </c>
      <c r="K1375" t="n">
        <v>0</v>
      </c>
      <c r="L1375" t="n">
        <v>0</v>
      </c>
      <c r="M1375" t="n">
        <v>0</v>
      </c>
      <c r="N1375" t="n">
        <v>0</v>
      </c>
      <c r="O1375" t="n">
        <v>0</v>
      </c>
      <c r="P1375" t="n">
        <v>0</v>
      </c>
      <c r="Q1375" t="n">
        <v>0</v>
      </c>
      <c r="R1375" s="2" t="inlineStr"/>
    </row>
    <row r="1376" ht="15" customHeight="1">
      <c r="A1376" t="inlineStr">
        <is>
          <t>A 29607-2022</t>
        </is>
      </c>
      <c r="B1376" s="1" t="n">
        <v>44754.50530092593</v>
      </c>
      <c r="C1376" s="1" t="n">
        <v>45952</v>
      </c>
      <c r="D1376" t="inlineStr">
        <is>
          <t>ÖREBRO LÄN</t>
        </is>
      </c>
      <c r="E1376" t="inlineStr">
        <is>
          <t>DEGERFORS</t>
        </is>
      </c>
      <c r="F1376" t="inlineStr">
        <is>
          <t>Sveaskog</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56271-2023</t>
        </is>
      </c>
      <c r="B1377" s="1" t="n">
        <v>45240</v>
      </c>
      <c r="C1377" s="1" t="n">
        <v>45952</v>
      </c>
      <c r="D1377" t="inlineStr">
        <is>
          <t>ÖREBRO LÄN</t>
        </is>
      </c>
      <c r="E1377" t="inlineStr">
        <is>
          <t>HALLSBERG</t>
        </is>
      </c>
      <c r="G1377" t="n">
        <v>6.2</v>
      </c>
      <c r="H1377" t="n">
        <v>0</v>
      </c>
      <c r="I1377" t="n">
        <v>0</v>
      </c>
      <c r="J1377" t="n">
        <v>0</v>
      </c>
      <c r="K1377" t="n">
        <v>0</v>
      </c>
      <c r="L1377" t="n">
        <v>0</v>
      </c>
      <c r="M1377" t="n">
        <v>0</v>
      </c>
      <c r="N1377" t="n">
        <v>0</v>
      </c>
      <c r="O1377" t="n">
        <v>0</v>
      </c>
      <c r="P1377" t="n">
        <v>0</v>
      </c>
      <c r="Q1377" t="n">
        <v>0</v>
      </c>
      <c r="R1377" s="2" t="inlineStr"/>
    </row>
    <row r="1378" ht="15" customHeight="1">
      <c r="A1378" t="inlineStr">
        <is>
          <t>A 11044-2021</t>
        </is>
      </c>
      <c r="B1378" s="1" t="n">
        <v>44260</v>
      </c>
      <c r="C1378" s="1" t="n">
        <v>45952</v>
      </c>
      <c r="D1378" t="inlineStr">
        <is>
          <t>ÖREBRO LÄN</t>
        </is>
      </c>
      <c r="E1378" t="inlineStr">
        <is>
          <t>HÄLLEFORS</t>
        </is>
      </c>
      <c r="F1378" t="inlineStr">
        <is>
          <t>Kyrkan</t>
        </is>
      </c>
      <c r="G1378" t="n">
        <v>3.6</v>
      </c>
      <c r="H1378" t="n">
        <v>0</v>
      </c>
      <c r="I1378" t="n">
        <v>0</v>
      </c>
      <c r="J1378" t="n">
        <v>0</v>
      </c>
      <c r="K1378" t="n">
        <v>0</v>
      </c>
      <c r="L1378" t="n">
        <v>0</v>
      </c>
      <c r="M1378" t="n">
        <v>0</v>
      </c>
      <c r="N1378" t="n">
        <v>0</v>
      </c>
      <c r="O1378" t="n">
        <v>0</v>
      </c>
      <c r="P1378" t="n">
        <v>0</v>
      </c>
      <c r="Q1378" t="n">
        <v>0</v>
      </c>
      <c r="R1378" s="2" t="inlineStr"/>
    </row>
    <row r="1379" ht="15" customHeight="1">
      <c r="A1379" t="inlineStr">
        <is>
          <t>A 41582-2021</t>
        </is>
      </c>
      <c r="B1379" s="1" t="n">
        <v>44425.40297453704</v>
      </c>
      <c r="C1379" s="1" t="n">
        <v>45952</v>
      </c>
      <c r="D1379" t="inlineStr">
        <is>
          <t>ÖREBRO LÄN</t>
        </is>
      </c>
      <c r="E1379" t="inlineStr">
        <is>
          <t>LINDESBERG</t>
        </is>
      </c>
      <c r="F1379" t="inlineStr">
        <is>
          <t>Sveaskog</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50262-2024</t>
        </is>
      </c>
      <c r="B1380" s="1" t="n">
        <v>45600.58674768519</v>
      </c>
      <c r="C1380" s="1" t="n">
        <v>45952</v>
      </c>
      <c r="D1380" t="inlineStr">
        <is>
          <t>ÖREBRO LÄN</t>
        </is>
      </c>
      <c r="E1380" t="inlineStr">
        <is>
          <t>LAXÅ</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58388-2024</t>
        </is>
      </c>
      <c r="B1381" s="1" t="n">
        <v>45633.64746527778</v>
      </c>
      <c r="C1381" s="1" t="n">
        <v>45952</v>
      </c>
      <c r="D1381" t="inlineStr">
        <is>
          <t>ÖREBRO LÄN</t>
        </is>
      </c>
      <c r="E1381" t="inlineStr">
        <is>
          <t>KARLSKOGA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6511-2025</t>
        </is>
      </c>
      <c r="B1382" s="1" t="n">
        <v>45699.65424768518</v>
      </c>
      <c r="C1382" s="1" t="n">
        <v>45952</v>
      </c>
      <c r="D1382" t="inlineStr">
        <is>
          <t>ÖREBRO LÄN</t>
        </is>
      </c>
      <c r="E1382" t="inlineStr">
        <is>
          <t>LINDESBERG</t>
        </is>
      </c>
      <c r="G1382" t="n">
        <v>9.1</v>
      </c>
      <c r="H1382" t="n">
        <v>0</v>
      </c>
      <c r="I1382" t="n">
        <v>0</v>
      </c>
      <c r="J1382" t="n">
        <v>0</v>
      </c>
      <c r="K1382" t="n">
        <v>0</v>
      </c>
      <c r="L1382" t="n">
        <v>0</v>
      </c>
      <c r="M1382" t="n">
        <v>0</v>
      </c>
      <c r="N1382" t="n">
        <v>0</v>
      </c>
      <c r="O1382" t="n">
        <v>0</v>
      </c>
      <c r="P1382" t="n">
        <v>0</v>
      </c>
      <c r="Q1382" t="n">
        <v>0</v>
      </c>
      <c r="R1382" s="2" t="inlineStr"/>
    </row>
    <row r="1383" ht="15" customHeight="1">
      <c r="A1383" t="inlineStr">
        <is>
          <t>A 64614-2021</t>
        </is>
      </c>
      <c r="B1383" s="1" t="n">
        <v>44511</v>
      </c>
      <c r="C1383" s="1" t="n">
        <v>45952</v>
      </c>
      <c r="D1383" t="inlineStr">
        <is>
          <t>ÖREBRO LÄN</t>
        </is>
      </c>
      <c r="E1383" t="inlineStr">
        <is>
          <t>ASKERSUND</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8044-2025</t>
        </is>
      </c>
      <c r="B1384" s="1" t="n">
        <v>45707</v>
      </c>
      <c r="C1384" s="1" t="n">
        <v>45952</v>
      </c>
      <c r="D1384" t="inlineStr">
        <is>
          <t>ÖREBRO LÄN</t>
        </is>
      </c>
      <c r="E1384" t="inlineStr">
        <is>
          <t>ASKERSUND</t>
        </is>
      </c>
      <c r="F1384" t="inlineStr">
        <is>
          <t>Sveaskog</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14333-2022</t>
        </is>
      </c>
      <c r="B1385" s="1" t="n">
        <v>44651</v>
      </c>
      <c r="C1385" s="1" t="n">
        <v>45952</v>
      </c>
      <c r="D1385" t="inlineStr">
        <is>
          <t>ÖREBRO LÄN</t>
        </is>
      </c>
      <c r="E1385" t="inlineStr">
        <is>
          <t>HALLSBERG</t>
        </is>
      </c>
      <c r="G1385" t="n">
        <v>3.9</v>
      </c>
      <c r="H1385" t="n">
        <v>0</v>
      </c>
      <c r="I1385" t="n">
        <v>0</v>
      </c>
      <c r="J1385" t="n">
        <v>0</v>
      </c>
      <c r="K1385" t="n">
        <v>0</v>
      </c>
      <c r="L1385" t="n">
        <v>0</v>
      </c>
      <c r="M1385" t="n">
        <v>0</v>
      </c>
      <c r="N1385" t="n">
        <v>0</v>
      </c>
      <c r="O1385" t="n">
        <v>0</v>
      </c>
      <c r="P1385" t="n">
        <v>0</v>
      </c>
      <c r="Q1385" t="n">
        <v>0</v>
      </c>
      <c r="R1385" s="2" t="inlineStr"/>
    </row>
    <row r="1386" ht="15" customHeight="1">
      <c r="A1386" t="inlineStr">
        <is>
          <t>A 38460-2024</t>
        </is>
      </c>
      <c r="B1386" s="1" t="n">
        <v>45546.46497685185</v>
      </c>
      <c r="C1386" s="1" t="n">
        <v>45952</v>
      </c>
      <c r="D1386" t="inlineStr">
        <is>
          <t>ÖREBRO LÄN</t>
        </is>
      </c>
      <c r="E1386" t="inlineStr">
        <is>
          <t>LINDESBERG</t>
        </is>
      </c>
      <c r="F1386" t="inlineStr">
        <is>
          <t>Sveaskog</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62794-2021</t>
        </is>
      </c>
      <c r="B1387" s="1" t="n">
        <v>44504</v>
      </c>
      <c r="C1387" s="1" t="n">
        <v>45952</v>
      </c>
      <c r="D1387" t="inlineStr">
        <is>
          <t>ÖREBRO LÄN</t>
        </is>
      </c>
      <c r="E1387" t="inlineStr">
        <is>
          <t>ÖREBRO</t>
        </is>
      </c>
      <c r="G1387" t="n">
        <v>3.3</v>
      </c>
      <c r="H1387" t="n">
        <v>0</v>
      </c>
      <c r="I1387" t="n">
        <v>0</v>
      </c>
      <c r="J1387" t="n">
        <v>0</v>
      </c>
      <c r="K1387" t="n">
        <v>0</v>
      </c>
      <c r="L1387" t="n">
        <v>0</v>
      </c>
      <c r="M1387" t="n">
        <v>0</v>
      </c>
      <c r="N1387" t="n">
        <v>0</v>
      </c>
      <c r="O1387" t="n">
        <v>0</v>
      </c>
      <c r="P1387" t="n">
        <v>0</v>
      </c>
      <c r="Q1387" t="n">
        <v>0</v>
      </c>
      <c r="R1387" s="2" t="inlineStr"/>
    </row>
    <row r="1388" ht="15" customHeight="1">
      <c r="A1388" t="inlineStr">
        <is>
          <t>A 62810-2021</t>
        </is>
      </c>
      <c r="B1388" s="1" t="n">
        <v>44503</v>
      </c>
      <c r="C1388" s="1" t="n">
        <v>45952</v>
      </c>
      <c r="D1388" t="inlineStr">
        <is>
          <t>ÖREBRO LÄN</t>
        </is>
      </c>
      <c r="E1388" t="inlineStr">
        <is>
          <t>LJUSNARSBERG</t>
        </is>
      </c>
      <c r="F1388" t="inlineStr">
        <is>
          <t>Bergvik skog väst AB</t>
        </is>
      </c>
      <c r="G1388" t="n">
        <v>5.7</v>
      </c>
      <c r="H1388" t="n">
        <v>0</v>
      </c>
      <c r="I1388" t="n">
        <v>0</v>
      </c>
      <c r="J1388" t="n">
        <v>0</v>
      </c>
      <c r="K1388" t="n">
        <v>0</v>
      </c>
      <c r="L1388" t="n">
        <v>0</v>
      </c>
      <c r="M1388" t="n">
        <v>0</v>
      </c>
      <c r="N1388" t="n">
        <v>0</v>
      </c>
      <c r="O1388" t="n">
        <v>0</v>
      </c>
      <c r="P1388" t="n">
        <v>0</v>
      </c>
      <c r="Q1388" t="n">
        <v>0</v>
      </c>
      <c r="R1388" s="2" t="inlineStr"/>
    </row>
    <row r="1389" ht="15" customHeight="1">
      <c r="A1389" t="inlineStr">
        <is>
          <t>A 19180-2025</t>
        </is>
      </c>
      <c r="B1389" s="1" t="n">
        <v>45769.40133101852</v>
      </c>
      <c r="C1389" s="1" t="n">
        <v>45952</v>
      </c>
      <c r="D1389" t="inlineStr">
        <is>
          <t>ÖREBRO LÄN</t>
        </is>
      </c>
      <c r="E1389" t="inlineStr">
        <is>
          <t>ÖREBRO</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37507-2023</t>
        </is>
      </c>
      <c r="B1390" s="1" t="n">
        <v>45158.41768518519</v>
      </c>
      <c r="C1390" s="1" t="n">
        <v>45952</v>
      </c>
      <c r="D1390" t="inlineStr">
        <is>
          <t>ÖREBRO LÄN</t>
        </is>
      </c>
      <c r="E1390" t="inlineStr">
        <is>
          <t>LINDESBERG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69230-2021</t>
        </is>
      </c>
      <c r="B1391" s="1" t="n">
        <v>44531</v>
      </c>
      <c r="C1391" s="1" t="n">
        <v>45952</v>
      </c>
      <c r="D1391" t="inlineStr">
        <is>
          <t>ÖREBRO LÄN</t>
        </is>
      </c>
      <c r="E1391" t="inlineStr">
        <is>
          <t>HALLSBERG</t>
        </is>
      </c>
      <c r="F1391" t="inlineStr">
        <is>
          <t>Kommuner</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21449-2021</t>
        </is>
      </c>
      <c r="B1392" s="1" t="n">
        <v>44321.46297453704</v>
      </c>
      <c r="C1392" s="1" t="n">
        <v>45952</v>
      </c>
      <c r="D1392" t="inlineStr">
        <is>
          <t>ÖREBRO LÄN</t>
        </is>
      </c>
      <c r="E1392" t="inlineStr">
        <is>
          <t>NORA</t>
        </is>
      </c>
      <c r="F1392" t="inlineStr">
        <is>
          <t>Sveaskog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7932-2024</t>
        </is>
      </c>
      <c r="B1393" s="1" t="n">
        <v>45349</v>
      </c>
      <c r="C1393" s="1" t="n">
        <v>45952</v>
      </c>
      <c r="D1393" t="inlineStr">
        <is>
          <t>ÖREBRO LÄN</t>
        </is>
      </c>
      <c r="E1393" t="inlineStr">
        <is>
          <t>LAXÅ</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55476-2024</t>
        </is>
      </c>
      <c r="B1394" s="1" t="n">
        <v>45622.43747685185</v>
      </c>
      <c r="C1394" s="1" t="n">
        <v>45952</v>
      </c>
      <c r="D1394" t="inlineStr">
        <is>
          <t>ÖREBRO LÄN</t>
        </is>
      </c>
      <c r="E1394" t="inlineStr">
        <is>
          <t>LAXÅ</t>
        </is>
      </c>
      <c r="F1394" t="inlineStr">
        <is>
          <t>Sveaskog</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55481-2024</t>
        </is>
      </c>
      <c r="B1395" s="1" t="n">
        <v>45622.44200231481</v>
      </c>
      <c r="C1395" s="1" t="n">
        <v>45952</v>
      </c>
      <c r="D1395" t="inlineStr">
        <is>
          <t>ÖREBRO LÄN</t>
        </is>
      </c>
      <c r="E1395" t="inlineStr">
        <is>
          <t>LAXÅ</t>
        </is>
      </c>
      <c r="F1395" t="inlineStr">
        <is>
          <t>Sveaskog</t>
        </is>
      </c>
      <c r="G1395" t="n">
        <v>6.6</v>
      </c>
      <c r="H1395" t="n">
        <v>0</v>
      </c>
      <c r="I1395" t="n">
        <v>0</v>
      </c>
      <c r="J1395" t="n">
        <v>0</v>
      </c>
      <c r="K1395" t="n">
        <v>0</v>
      </c>
      <c r="L1395" t="n">
        <v>0</v>
      </c>
      <c r="M1395" t="n">
        <v>0</v>
      </c>
      <c r="N1395" t="n">
        <v>0</v>
      </c>
      <c r="O1395" t="n">
        <v>0</v>
      </c>
      <c r="P1395" t="n">
        <v>0</v>
      </c>
      <c r="Q1395" t="n">
        <v>0</v>
      </c>
      <c r="R1395" s="2" t="inlineStr"/>
    </row>
    <row r="1396" ht="15" customHeight="1">
      <c r="A1396" t="inlineStr">
        <is>
          <t>A 55484-2024</t>
        </is>
      </c>
      <c r="B1396" s="1" t="n">
        <v>45622.44274305556</v>
      </c>
      <c r="C1396" s="1" t="n">
        <v>45952</v>
      </c>
      <c r="D1396" t="inlineStr">
        <is>
          <t>ÖREBRO LÄN</t>
        </is>
      </c>
      <c r="E1396" t="inlineStr">
        <is>
          <t>LAXÅ</t>
        </is>
      </c>
      <c r="F1396" t="inlineStr">
        <is>
          <t>Sveaskog</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58574-2024</t>
        </is>
      </c>
      <c r="B1397" s="1" t="n">
        <v>45635</v>
      </c>
      <c r="C1397" s="1" t="n">
        <v>45952</v>
      </c>
      <c r="D1397" t="inlineStr">
        <is>
          <t>ÖREBRO LÄN</t>
        </is>
      </c>
      <c r="E1397" t="inlineStr">
        <is>
          <t>HALLSBERG</t>
        </is>
      </c>
      <c r="G1397" t="n">
        <v>6</v>
      </c>
      <c r="H1397" t="n">
        <v>0</v>
      </c>
      <c r="I1397" t="n">
        <v>0</v>
      </c>
      <c r="J1397" t="n">
        <v>0</v>
      </c>
      <c r="K1397" t="n">
        <v>0</v>
      </c>
      <c r="L1397" t="n">
        <v>0</v>
      </c>
      <c r="M1397" t="n">
        <v>0</v>
      </c>
      <c r="N1397" t="n">
        <v>0</v>
      </c>
      <c r="O1397" t="n">
        <v>0</v>
      </c>
      <c r="P1397" t="n">
        <v>0</v>
      </c>
      <c r="Q1397" t="n">
        <v>0</v>
      </c>
      <c r="R1397" s="2" t="inlineStr"/>
    </row>
    <row r="1398" ht="15" customHeight="1">
      <c r="A1398" t="inlineStr">
        <is>
          <t>A 46805-2024</t>
        </is>
      </c>
      <c r="B1398" s="1" t="n">
        <v>45583</v>
      </c>
      <c r="C1398" s="1" t="n">
        <v>45952</v>
      </c>
      <c r="D1398" t="inlineStr">
        <is>
          <t>ÖREBRO LÄN</t>
        </is>
      </c>
      <c r="E1398" t="inlineStr">
        <is>
          <t>LJUSNARSBERG</t>
        </is>
      </c>
      <c r="F1398" t="inlineStr">
        <is>
          <t>Bergvik skog väst AB</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9814-2025</t>
        </is>
      </c>
      <c r="B1399" s="1" t="n">
        <v>45715</v>
      </c>
      <c r="C1399" s="1" t="n">
        <v>45952</v>
      </c>
      <c r="D1399" t="inlineStr">
        <is>
          <t>ÖREBRO LÄN</t>
        </is>
      </c>
      <c r="E1399" t="inlineStr">
        <is>
          <t>HALLSBERG</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44938-2021</t>
        </is>
      </c>
      <c r="B1400" s="1" t="n">
        <v>44438</v>
      </c>
      <c r="C1400" s="1" t="n">
        <v>45952</v>
      </c>
      <c r="D1400" t="inlineStr">
        <is>
          <t>ÖREBRO LÄN</t>
        </is>
      </c>
      <c r="E1400" t="inlineStr">
        <is>
          <t>ASKERSUND</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58684-2023</t>
        </is>
      </c>
      <c r="B1401" s="1" t="n">
        <v>45251</v>
      </c>
      <c r="C1401" s="1" t="n">
        <v>45952</v>
      </c>
      <c r="D1401" t="inlineStr">
        <is>
          <t>ÖREBRO LÄN</t>
        </is>
      </c>
      <c r="E1401" t="inlineStr">
        <is>
          <t>ÖREBRO</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51897-2024</t>
        </is>
      </c>
      <c r="B1402" s="1" t="n">
        <v>45607</v>
      </c>
      <c r="C1402" s="1" t="n">
        <v>45952</v>
      </c>
      <c r="D1402" t="inlineStr">
        <is>
          <t>ÖREBRO LÄN</t>
        </is>
      </c>
      <c r="E1402" t="inlineStr">
        <is>
          <t>ASKERSUND</t>
        </is>
      </c>
      <c r="F1402" t="inlineStr">
        <is>
          <t>Sveaskog</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37771-2024</t>
        </is>
      </c>
      <c r="B1403" s="1" t="n">
        <v>45542.31359953704</v>
      </c>
      <c r="C1403" s="1" t="n">
        <v>45952</v>
      </c>
      <c r="D1403" t="inlineStr">
        <is>
          <t>ÖREBRO LÄN</t>
        </is>
      </c>
      <c r="E1403" t="inlineStr">
        <is>
          <t>ÖREBRO</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53753-2024</t>
        </is>
      </c>
      <c r="B1404" s="1" t="n">
        <v>45614</v>
      </c>
      <c r="C1404" s="1" t="n">
        <v>45952</v>
      </c>
      <c r="D1404" t="inlineStr">
        <is>
          <t>ÖREBRO LÄN</t>
        </is>
      </c>
      <c r="E1404" t="inlineStr">
        <is>
          <t>LJUSNARSBERG</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17923-2024</t>
        </is>
      </c>
      <c r="B1405" s="1" t="n">
        <v>45419.58890046296</v>
      </c>
      <c r="C1405" s="1" t="n">
        <v>45952</v>
      </c>
      <c r="D1405" t="inlineStr">
        <is>
          <t>ÖREBRO LÄN</t>
        </is>
      </c>
      <c r="E1405" t="inlineStr">
        <is>
          <t>LJUSNARSBERG</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17924-2024</t>
        </is>
      </c>
      <c r="B1406" s="1" t="n">
        <v>45419.59212962963</v>
      </c>
      <c r="C1406" s="1" t="n">
        <v>45952</v>
      </c>
      <c r="D1406" t="inlineStr">
        <is>
          <t>ÖREBRO LÄN</t>
        </is>
      </c>
      <c r="E1406" t="inlineStr">
        <is>
          <t>LJUSNARSBERG</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57655-2020</t>
        </is>
      </c>
      <c r="B1407" s="1" t="n">
        <v>44140</v>
      </c>
      <c r="C1407" s="1" t="n">
        <v>45952</v>
      </c>
      <c r="D1407" t="inlineStr">
        <is>
          <t>ÖREBRO LÄN</t>
        </is>
      </c>
      <c r="E1407" t="inlineStr">
        <is>
          <t>KARLSKOGA</t>
        </is>
      </c>
      <c r="F1407" t="inlineStr">
        <is>
          <t>Kommuner</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40151-2024</t>
        </is>
      </c>
      <c r="B1408" s="1" t="n">
        <v>45554</v>
      </c>
      <c r="C1408" s="1" t="n">
        <v>45952</v>
      </c>
      <c r="D1408" t="inlineStr">
        <is>
          <t>ÖREBRO LÄN</t>
        </is>
      </c>
      <c r="E1408" t="inlineStr">
        <is>
          <t>LAXÅ</t>
        </is>
      </c>
      <c r="F1408" t="inlineStr">
        <is>
          <t>Sveaskog</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41551-2024</t>
        </is>
      </c>
      <c r="B1409" s="1" t="n">
        <v>45560</v>
      </c>
      <c r="C1409" s="1" t="n">
        <v>45952</v>
      </c>
      <c r="D1409" t="inlineStr">
        <is>
          <t>ÖREBRO LÄN</t>
        </is>
      </c>
      <c r="E1409" t="inlineStr">
        <is>
          <t>LEKEBERG</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33011-2023</t>
        </is>
      </c>
      <c r="B1410" s="1" t="n">
        <v>45125</v>
      </c>
      <c r="C1410" s="1" t="n">
        <v>45952</v>
      </c>
      <c r="D1410" t="inlineStr">
        <is>
          <t>ÖREBRO LÄN</t>
        </is>
      </c>
      <c r="E1410" t="inlineStr">
        <is>
          <t>KARLSKOGA</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48265-2021</t>
        </is>
      </c>
      <c r="B1411" s="1" t="n">
        <v>44449</v>
      </c>
      <c r="C1411" s="1" t="n">
        <v>45952</v>
      </c>
      <c r="D1411" t="inlineStr">
        <is>
          <t>ÖREBRO LÄN</t>
        </is>
      </c>
      <c r="E1411" t="inlineStr">
        <is>
          <t>LINDESBERG</t>
        </is>
      </c>
      <c r="G1411" t="n">
        <v>23.7</v>
      </c>
      <c r="H1411" t="n">
        <v>0</v>
      </c>
      <c r="I1411" t="n">
        <v>0</v>
      </c>
      <c r="J1411" t="n">
        <v>0</v>
      </c>
      <c r="K1411" t="n">
        <v>0</v>
      </c>
      <c r="L1411" t="n">
        <v>0</v>
      </c>
      <c r="M1411" t="n">
        <v>0</v>
      </c>
      <c r="N1411" t="n">
        <v>0</v>
      </c>
      <c r="O1411" t="n">
        <v>0</v>
      </c>
      <c r="P1411" t="n">
        <v>0</v>
      </c>
      <c r="Q1411" t="n">
        <v>0</v>
      </c>
      <c r="R1411" s="2" t="inlineStr"/>
    </row>
    <row r="1412" ht="15" customHeight="1">
      <c r="A1412" t="inlineStr">
        <is>
          <t>A 24270-2023</t>
        </is>
      </c>
      <c r="B1412" s="1" t="n">
        <v>45079</v>
      </c>
      <c r="C1412" s="1" t="n">
        <v>45952</v>
      </c>
      <c r="D1412" t="inlineStr">
        <is>
          <t>ÖREBRO LÄN</t>
        </is>
      </c>
      <c r="E1412" t="inlineStr">
        <is>
          <t>LINDESBERG</t>
        </is>
      </c>
      <c r="F1412" t="inlineStr">
        <is>
          <t>Sveaskog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24271-2023</t>
        </is>
      </c>
      <c r="B1413" s="1" t="n">
        <v>45079</v>
      </c>
      <c r="C1413" s="1" t="n">
        <v>45952</v>
      </c>
      <c r="D1413" t="inlineStr">
        <is>
          <t>ÖREBRO LÄN</t>
        </is>
      </c>
      <c r="E1413" t="inlineStr">
        <is>
          <t>LINDESBERG</t>
        </is>
      </c>
      <c r="F1413" t="inlineStr">
        <is>
          <t>Sveaskog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49582-2022</t>
        </is>
      </c>
      <c r="B1414" s="1" t="n">
        <v>44862.36460648148</v>
      </c>
      <c r="C1414" s="1" t="n">
        <v>45952</v>
      </c>
      <c r="D1414" t="inlineStr">
        <is>
          <t>ÖREBRO LÄN</t>
        </is>
      </c>
      <c r="E1414" t="inlineStr">
        <is>
          <t>HALLSBERG</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25046-2024</t>
        </is>
      </c>
      <c r="B1415" s="1" t="n">
        <v>45462</v>
      </c>
      <c r="C1415" s="1" t="n">
        <v>45952</v>
      </c>
      <c r="D1415" t="inlineStr">
        <is>
          <t>ÖREBRO LÄN</t>
        </is>
      </c>
      <c r="E1415" t="inlineStr">
        <is>
          <t>LINDESBERG</t>
        </is>
      </c>
      <c r="G1415" t="n">
        <v>4.1</v>
      </c>
      <c r="H1415" t="n">
        <v>0</v>
      </c>
      <c r="I1415" t="n">
        <v>0</v>
      </c>
      <c r="J1415" t="n">
        <v>0</v>
      </c>
      <c r="K1415" t="n">
        <v>0</v>
      </c>
      <c r="L1415" t="n">
        <v>0</v>
      </c>
      <c r="M1415" t="n">
        <v>0</v>
      </c>
      <c r="N1415" t="n">
        <v>0</v>
      </c>
      <c r="O1415" t="n">
        <v>0</v>
      </c>
      <c r="P1415" t="n">
        <v>0</v>
      </c>
      <c r="Q1415" t="n">
        <v>0</v>
      </c>
      <c r="R1415" s="2" t="inlineStr"/>
    </row>
    <row r="1416" ht="15" customHeight="1">
      <c r="A1416" t="inlineStr">
        <is>
          <t>A 14680-2025</t>
        </is>
      </c>
      <c r="B1416" s="1" t="n">
        <v>45742.56774305556</v>
      </c>
      <c r="C1416" s="1" t="n">
        <v>45952</v>
      </c>
      <c r="D1416" t="inlineStr">
        <is>
          <t>ÖREBRO LÄN</t>
        </is>
      </c>
      <c r="E1416" t="inlineStr">
        <is>
          <t>DEGERFORS</t>
        </is>
      </c>
      <c r="F1416" t="inlineStr">
        <is>
          <t>Sveaskog</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53016-2023</t>
        </is>
      </c>
      <c r="B1417" s="1" t="n">
        <v>45226.66472222222</v>
      </c>
      <c r="C1417" s="1" t="n">
        <v>45952</v>
      </c>
      <c r="D1417" t="inlineStr">
        <is>
          <t>ÖREBRO LÄN</t>
        </is>
      </c>
      <c r="E1417" t="inlineStr">
        <is>
          <t>LAXÅ</t>
        </is>
      </c>
      <c r="F1417" t="inlineStr">
        <is>
          <t>Sveaskog</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67016-2021</t>
        </is>
      </c>
      <c r="B1418" s="1" t="n">
        <v>44522</v>
      </c>
      <c r="C1418" s="1" t="n">
        <v>45952</v>
      </c>
      <c r="D1418" t="inlineStr">
        <is>
          <t>ÖREBRO LÄN</t>
        </is>
      </c>
      <c r="E1418" t="inlineStr">
        <is>
          <t>LINDESBERG</t>
        </is>
      </c>
      <c r="G1418" t="n">
        <v>8</v>
      </c>
      <c r="H1418" t="n">
        <v>0</v>
      </c>
      <c r="I1418" t="n">
        <v>0</v>
      </c>
      <c r="J1418" t="n">
        <v>0</v>
      </c>
      <c r="K1418" t="n">
        <v>0</v>
      </c>
      <c r="L1418" t="n">
        <v>0</v>
      </c>
      <c r="M1418" t="n">
        <v>0</v>
      </c>
      <c r="N1418" t="n">
        <v>0</v>
      </c>
      <c r="O1418" t="n">
        <v>0</v>
      </c>
      <c r="P1418" t="n">
        <v>0</v>
      </c>
      <c r="Q1418" t="n">
        <v>0</v>
      </c>
      <c r="R1418" s="2" t="inlineStr"/>
    </row>
    <row r="1419" ht="15" customHeight="1">
      <c r="A1419" t="inlineStr">
        <is>
          <t>A 59497-2024</t>
        </is>
      </c>
      <c r="B1419" s="1" t="n">
        <v>45638.5459375</v>
      </c>
      <c r="C1419" s="1" t="n">
        <v>45952</v>
      </c>
      <c r="D1419" t="inlineStr">
        <is>
          <t>ÖREBRO LÄN</t>
        </is>
      </c>
      <c r="E1419" t="inlineStr">
        <is>
          <t>LJUSNARSBERG</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36889-2021</t>
        </is>
      </c>
      <c r="B1420" s="1" t="n">
        <v>44393.45215277778</v>
      </c>
      <c r="C1420" s="1" t="n">
        <v>45952</v>
      </c>
      <c r="D1420" t="inlineStr">
        <is>
          <t>ÖREBRO LÄN</t>
        </is>
      </c>
      <c r="E1420" t="inlineStr">
        <is>
          <t>LAXÅ</t>
        </is>
      </c>
      <c r="F1420" t="inlineStr">
        <is>
          <t>Sveaskog</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40522-2024</t>
        </is>
      </c>
      <c r="B1421" s="1" t="n">
        <v>45555.59717592593</v>
      </c>
      <c r="C1421" s="1" t="n">
        <v>45952</v>
      </c>
      <c r="D1421" t="inlineStr">
        <is>
          <t>ÖREBRO LÄN</t>
        </is>
      </c>
      <c r="E1421" t="inlineStr">
        <is>
          <t>ÖREBRO</t>
        </is>
      </c>
      <c r="G1421" t="n">
        <v>5.1</v>
      </c>
      <c r="H1421" t="n">
        <v>0</v>
      </c>
      <c r="I1421" t="n">
        <v>0</v>
      </c>
      <c r="J1421" t="n">
        <v>0</v>
      </c>
      <c r="K1421" t="n">
        <v>0</v>
      </c>
      <c r="L1421" t="n">
        <v>0</v>
      </c>
      <c r="M1421" t="n">
        <v>0</v>
      </c>
      <c r="N1421" t="n">
        <v>0</v>
      </c>
      <c r="O1421" t="n">
        <v>0</v>
      </c>
      <c r="P1421" t="n">
        <v>0</v>
      </c>
      <c r="Q1421" t="n">
        <v>0</v>
      </c>
      <c r="R1421" s="2" t="inlineStr"/>
    </row>
    <row r="1422" ht="15" customHeight="1">
      <c r="A1422" t="inlineStr">
        <is>
          <t>A 40528-2024</t>
        </is>
      </c>
      <c r="B1422" s="1" t="n">
        <v>45555.60616898148</v>
      </c>
      <c r="C1422" s="1" t="n">
        <v>45952</v>
      </c>
      <c r="D1422" t="inlineStr">
        <is>
          <t>ÖREBRO LÄN</t>
        </is>
      </c>
      <c r="E1422" t="inlineStr">
        <is>
          <t>KARLSKOGA</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33193-2024</t>
        </is>
      </c>
      <c r="B1423" s="1" t="n">
        <v>45518</v>
      </c>
      <c r="C1423" s="1" t="n">
        <v>45952</v>
      </c>
      <c r="D1423" t="inlineStr">
        <is>
          <t>ÖREBRO LÄN</t>
        </is>
      </c>
      <c r="E1423" t="inlineStr">
        <is>
          <t>LJUSNARSBERG</t>
        </is>
      </c>
      <c r="G1423" t="n">
        <v>5.9</v>
      </c>
      <c r="H1423" t="n">
        <v>0</v>
      </c>
      <c r="I1423" t="n">
        <v>0</v>
      </c>
      <c r="J1423" t="n">
        <v>0</v>
      </c>
      <c r="K1423" t="n">
        <v>0</v>
      </c>
      <c r="L1423" t="n">
        <v>0</v>
      </c>
      <c r="M1423" t="n">
        <v>0</v>
      </c>
      <c r="N1423" t="n">
        <v>0</v>
      </c>
      <c r="O1423" t="n">
        <v>0</v>
      </c>
      <c r="P1423" t="n">
        <v>0</v>
      </c>
      <c r="Q1423" t="n">
        <v>0</v>
      </c>
      <c r="R1423" s="2" t="inlineStr"/>
    </row>
    <row r="1424" ht="15" customHeight="1">
      <c r="A1424" t="inlineStr">
        <is>
          <t>A 6843-2024</t>
        </is>
      </c>
      <c r="B1424" s="1" t="n">
        <v>45342.62711805556</v>
      </c>
      <c r="C1424" s="1" t="n">
        <v>45952</v>
      </c>
      <c r="D1424" t="inlineStr">
        <is>
          <t>ÖREBRO LÄN</t>
        </is>
      </c>
      <c r="E1424" t="inlineStr">
        <is>
          <t>LEKEBERG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7026-2024</t>
        </is>
      </c>
      <c r="B1425" s="1" t="n">
        <v>45343.58587962963</v>
      </c>
      <c r="C1425" s="1" t="n">
        <v>45952</v>
      </c>
      <c r="D1425" t="inlineStr">
        <is>
          <t>ÖREBRO LÄN</t>
        </is>
      </c>
      <c r="E1425" t="inlineStr">
        <is>
          <t>LINDESBERG</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28824-2024</t>
        </is>
      </c>
      <c r="B1426" s="1" t="n">
        <v>45478</v>
      </c>
      <c r="C1426" s="1" t="n">
        <v>45952</v>
      </c>
      <c r="D1426" t="inlineStr">
        <is>
          <t>ÖREBRO LÄN</t>
        </is>
      </c>
      <c r="E1426" t="inlineStr">
        <is>
          <t>LEKEBERG</t>
        </is>
      </c>
      <c r="F1426" t="inlineStr">
        <is>
          <t>Sveaskog</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8022-2022</t>
        </is>
      </c>
      <c r="B1427" s="1" t="n">
        <v>44609</v>
      </c>
      <c r="C1427" s="1" t="n">
        <v>45952</v>
      </c>
      <c r="D1427" t="inlineStr">
        <is>
          <t>ÖREBRO LÄN</t>
        </is>
      </c>
      <c r="E1427" t="inlineStr">
        <is>
          <t>ÖREBRO</t>
        </is>
      </c>
      <c r="G1427" t="n">
        <v>5.6</v>
      </c>
      <c r="H1427" t="n">
        <v>0</v>
      </c>
      <c r="I1427" t="n">
        <v>0</v>
      </c>
      <c r="J1427" t="n">
        <v>0</v>
      </c>
      <c r="K1427" t="n">
        <v>0</v>
      </c>
      <c r="L1427" t="n">
        <v>0</v>
      </c>
      <c r="M1427" t="n">
        <v>0</v>
      </c>
      <c r="N1427" t="n">
        <v>0</v>
      </c>
      <c r="O1427" t="n">
        <v>0</v>
      </c>
      <c r="P1427" t="n">
        <v>0</v>
      </c>
      <c r="Q1427" t="n">
        <v>0</v>
      </c>
      <c r="R1427" s="2" t="inlineStr"/>
    </row>
    <row r="1428" ht="15" customHeight="1">
      <c r="A1428" t="inlineStr">
        <is>
          <t>A 17333-2025</t>
        </is>
      </c>
      <c r="B1428" s="1" t="n">
        <v>45756</v>
      </c>
      <c r="C1428" s="1" t="n">
        <v>45952</v>
      </c>
      <c r="D1428" t="inlineStr">
        <is>
          <t>ÖREBRO LÄN</t>
        </is>
      </c>
      <c r="E1428" t="inlineStr">
        <is>
          <t>HÄLLEFORS</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17338-2025</t>
        </is>
      </c>
      <c r="B1429" s="1" t="n">
        <v>45756</v>
      </c>
      <c r="C1429" s="1" t="n">
        <v>45952</v>
      </c>
      <c r="D1429" t="inlineStr">
        <is>
          <t>ÖREBRO LÄN</t>
        </is>
      </c>
      <c r="E1429" t="inlineStr">
        <is>
          <t>HÄLLEFORS</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36421-2024</t>
        </is>
      </c>
      <c r="B1430" s="1" t="n">
        <v>45536.6512037037</v>
      </c>
      <c r="C1430" s="1" t="n">
        <v>45952</v>
      </c>
      <c r="D1430" t="inlineStr">
        <is>
          <t>ÖREBRO LÄN</t>
        </is>
      </c>
      <c r="E1430" t="inlineStr">
        <is>
          <t>LAXÅ</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8346-2024</t>
        </is>
      </c>
      <c r="B1431" s="1" t="n">
        <v>45352.55505787037</v>
      </c>
      <c r="C1431" s="1" t="n">
        <v>45952</v>
      </c>
      <c r="D1431" t="inlineStr">
        <is>
          <t>ÖREBRO LÄN</t>
        </is>
      </c>
      <c r="E1431" t="inlineStr">
        <is>
          <t>HALLSBERG</t>
        </is>
      </c>
      <c r="F1431" t="inlineStr">
        <is>
          <t>Sveaskog</t>
        </is>
      </c>
      <c r="G1431" t="n">
        <v>4.8</v>
      </c>
      <c r="H1431" t="n">
        <v>0</v>
      </c>
      <c r="I1431" t="n">
        <v>0</v>
      </c>
      <c r="J1431" t="n">
        <v>0</v>
      </c>
      <c r="K1431" t="n">
        <v>0</v>
      </c>
      <c r="L1431" t="n">
        <v>0</v>
      </c>
      <c r="M1431" t="n">
        <v>0</v>
      </c>
      <c r="N1431" t="n">
        <v>0</v>
      </c>
      <c r="O1431" t="n">
        <v>0</v>
      </c>
      <c r="P1431" t="n">
        <v>0</v>
      </c>
      <c r="Q1431" t="n">
        <v>0</v>
      </c>
      <c r="R1431" s="2" t="inlineStr"/>
    </row>
    <row r="1432" ht="15" customHeight="1">
      <c r="A1432" t="inlineStr">
        <is>
          <t>A 53892-2023</t>
        </is>
      </c>
      <c r="B1432" s="1" t="n">
        <v>45231</v>
      </c>
      <c r="C1432" s="1" t="n">
        <v>45952</v>
      </c>
      <c r="D1432" t="inlineStr">
        <is>
          <t>ÖREBRO LÄN</t>
        </is>
      </c>
      <c r="E1432" t="inlineStr">
        <is>
          <t>HÄLLEFORS</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4013-2025</t>
        </is>
      </c>
      <c r="B1433" s="1" t="n">
        <v>45684.5790162037</v>
      </c>
      <c r="C1433" s="1" t="n">
        <v>45952</v>
      </c>
      <c r="D1433" t="inlineStr">
        <is>
          <t>ÖREBRO LÄN</t>
        </is>
      </c>
      <c r="E1433" t="inlineStr">
        <is>
          <t>LINDESBERG</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29978-2024</t>
        </is>
      </c>
      <c r="B1434" s="1" t="n">
        <v>45488.48340277778</v>
      </c>
      <c r="C1434" s="1" t="n">
        <v>45952</v>
      </c>
      <c r="D1434" t="inlineStr">
        <is>
          <t>ÖREBRO LÄN</t>
        </is>
      </c>
      <c r="E1434" t="inlineStr">
        <is>
          <t>ÖREBRO</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12018-2025</t>
        </is>
      </c>
      <c r="B1435" s="1" t="n">
        <v>45728.6249537037</v>
      </c>
      <c r="C1435" s="1" t="n">
        <v>45952</v>
      </c>
      <c r="D1435" t="inlineStr">
        <is>
          <t>ÖREBRO LÄN</t>
        </is>
      </c>
      <c r="E1435" t="inlineStr">
        <is>
          <t>HALLSBERG</t>
        </is>
      </c>
      <c r="F1435" t="inlineStr">
        <is>
          <t>Sveaskog</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36108-2024</t>
        </is>
      </c>
      <c r="B1436" s="1" t="n">
        <v>45533.9425</v>
      </c>
      <c r="C1436" s="1" t="n">
        <v>45952</v>
      </c>
      <c r="D1436" t="inlineStr">
        <is>
          <t>ÖREBRO LÄN</t>
        </is>
      </c>
      <c r="E1436" t="inlineStr">
        <is>
          <t>LJUSNARSBERG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55479-2024</t>
        </is>
      </c>
      <c r="B1437" s="1" t="n">
        <v>45622.4384375</v>
      </c>
      <c r="C1437" s="1" t="n">
        <v>45952</v>
      </c>
      <c r="D1437" t="inlineStr">
        <is>
          <t>ÖREBRO LÄN</t>
        </is>
      </c>
      <c r="E1437" t="inlineStr">
        <is>
          <t>LAXÅ</t>
        </is>
      </c>
      <c r="F1437" t="inlineStr">
        <is>
          <t>Sveaskog</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12471-2022</t>
        </is>
      </c>
      <c r="B1438" s="1" t="n">
        <v>44638</v>
      </c>
      <c r="C1438" s="1" t="n">
        <v>45952</v>
      </c>
      <c r="D1438" t="inlineStr">
        <is>
          <t>ÖREBRO LÄN</t>
        </is>
      </c>
      <c r="E1438" t="inlineStr">
        <is>
          <t>HALLSBERG</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33978-2023</t>
        </is>
      </c>
      <c r="B1439" s="1" t="n">
        <v>45134.68158564815</v>
      </c>
      <c r="C1439" s="1" t="n">
        <v>45952</v>
      </c>
      <c r="D1439" t="inlineStr">
        <is>
          <t>ÖREBRO LÄN</t>
        </is>
      </c>
      <c r="E1439" t="inlineStr">
        <is>
          <t>LINDESBERG</t>
        </is>
      </c>
      <c r="G1439" t="n">
        <v>4.1</v>
      </c>
      <c r="H1439" t="n">
        <v>0</v>
      </c>
      <c r="I1439" t="n">
        <v>0</v>
      </c>
      <c r="J1439" t="n">
        <v>0</v>
      </c>
      <c r="K1439" t="n">
        <v>0</v>
      </c>
      <c r="L1439" t="n">
        <v>0</v>
      </c>
      <c r="M1439" t="n">
        <v>0</v>
      </c>
      <c r="N1439" t="n">
        <v>0</v>
      </c>
      <c r="O1439" t="n">
        <v>0</v>
      </c>
      <c r="P1439" t="n">
        <v>0</v>
      </c>
      <c r="Q1439" t="n">
        <v>0</v>
      </c>
      <c r="R1439" s="2" t="inlineStr"/>
    </row>
    <row r="1440" ht="15" customHeight="1">
      <c r="A1440" t="inlineStr">
        <is>
          <t>A 33979-2023</t>
        </is>
      </c>
      <c r="B1440" s="1" t="n">
        <v>45124</v>
      </c>
      <c r="C1440" s="1" t="n">
        <v>45952</v>
      </c>
      <c r="D1440" t="inlineStr">
        <is>
          <t>ÖREBRO LÄN</t>
        </is>
      </c>
      <c r="E1440" t="inlineStr">
        <is>
          <t>LJUSNARSBERG</t>
        </is>
      </c>
      <c r="F1440" t="inlineStr">
        <is>
          <t>Bergvik skog väst AB</t>
        </is>
      </c>
      <c r="G1440" t="n">
        <v>4.8</v>
      </c>
      <c r="H1440" t="n">
        <v>0</v>
      </c>
      <c r="I1440" t="n">
        <v>0</v>
      </c>
      <c r="J1440" t="n">
        <v>0</v>
      </c>
      <c r="K1440" t="n">
        <v>0</v>
      </c>
      <c r="L1440" t="n">
        <v>0</v>
      </c>
      <c r="M1440" t="n">
        <v>0</v>
      </c>
      <c r="N1440" t="n">
        <v>0</v>
      </c>
      <c r="O1440" t="n">
        <v>0</v>
      </c>
      <c r="P1440" t="n">
        <v>0</v>
      </c>
      <c r="Q1440" t="n">
        <v>0</v>
      </c>
      <c r="R1440" s="2" t="inlineStr"/>
    </row>
    <row r="1441" ht="15" customHeight="1">
      <c r="A1441" t="inlineStr">
        <is>
          <t>A 31480-2021</t>
        </is>
      </c>
      <c r="B1441" s="1" t="n">
        <v>44369</v>
      </c>
      <c r="C1441" s="1" t="n">
        <v>45952</v>
      </c>
      <c r="D1441" t="inlineStr">
        <is>
          <t>ÖREBRO LÄN</t>
        </is>
      </c>
      <c r="E1441" t="inlineStr">
        <is>
          <t>HALLSBERG</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2607-2023</t>
        </is>
      </c>
      <c r="B1442" s="1" t="n">
        <v>44939</v>
      </c>
      <c r="C1442" s="1" t="n">
        <v>45952</v>
      </c>
      <c r="D1442" t="inlineStr">
        <is>
          <t>ÖREBRO LÄN</t>
        </is>
      </c>
      <c r="E1442" t="inlineStr">
        <is>
          <t>LJUSNARSBERG</t>
        </is>
      </c>
      <c r="G1442" t="n">
        <v>6</v>
      </c>
      <c r="H1442" t="n">
        <v>0</v>
      </c>
      <c r="I1442" t="n">
        <v>0</v>
      </c>
      <c r="J1442" t="n">
        <v>0</v>
      </c>
      <c r="K1442" t="n">
        <v>0</v>
      </c>
      <c r="L1442" t="n">
        <v>0</v>
      </c>
      <c r="M1442" t="n">
        <v>0</v>
      </c>
      <c r="N1442" t="n">
        <v>0</v>
      </c>
      <c r="O1442" t="n">
        <v>0</v>
      </c>
      <c r="P1442" t="n">
        <v>0</v>
      </c>
      <c r="Q1442" t="n">
        <v>0</v>
      </c>
      <c r="R1442" s="2" t="inlineStr"/>
    </row>
    <row r="1443" ht="15" customHeight="1">
      <c r="A1443" t="inlineStr">
        <is>
          <t>A 47017-2025</t>
        </is>
      </c>
      <c r="B1443" s="1" t="n">
        <v>45929.57561342593</v>
      </c>
      <c r="C1443" s="1" t="n">
        <v>45952</v>
      </c>
      <c r="D1443" t="inlineStr">
        <is>
          <t>ÖREBRO LÄN</t>
        </is>
      </c>
      <c r="E1443" t="inlineStr">
        <is>
          <t>LJUSNARSBERG</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47023-2025</t>
        </is>
      </c>
      <c r="B1444" s="1" t="n">
        <v>45929.57790509259</v>
      </c>
      <c r="C1444" s="1" t="n">
        <v>45952</v>
      </c>
      <c r="D1444" t="inlineStr">
        <is>
          <t>ÖREBRO LÄN</t>
        </is>
      </c>
      <c r="E1444" t="inlineStr">
        <is>
          <t>LJUSNARSBERG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46492-2025</t>
        </is>
      </c>
      <c r="B1445" s="1" t="n">
        <v>45925</v>
      </c>
      <c r="C1445" s="1" t="n">
        <v>45952</v>
      </c>
      <c r="D1445" t="inlineStr">
        <is>
          <t>ÖREBRO LÄN</t>
        </is>
      </c>
      <c r="E1445" t="inlineStr">
        <is>
          <t>LJUSNARSBERG</t>
        </is>
      </c>
      <c r="F1445" t="inlineStr">
        <is>
          <t>Bergvik skog väst AB</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19978-2025</t>
        </is>
      </c>
      <c r="B1446" s="1" t="n">
        <v>45771.7062037037</v>
      </c>
      <c r="C1446" s="1" t="n">
        <v>45952</v>
      </c>
      <c r="D1446" t="inlineStr">
        <is>
          <t>ÖREBRO LÄN</t>
        </is>
      </c>
      <c r="E1446" t="inlineStr">
        <is>
          <t>ÖREBRO</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6757-2021</t>
        </is>
      </c>
      <c r="B1447" s="1" t="n">
        <v>44236</v>
      </c>
      <c r="C1447" s="1" t="n">
        <v>45952</v>
      </c>
      <c r="D1447" t="inlineStr">
        <is>
          <t>ÖREBRO LÄN</t>
        </is>
      </c>
      <c r="E1447" t="inlineStr">
        <is>
          <t>LEKEBERG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55272-2023</t>
        </is>
      </c>
      <c r="B1448" s="1" t="n">
        <v>45237.67819444444</v>
      </c>
      <c r="C1448" s="1" t="n">
        <v>45952</v>
      </c>
      <c r="D1448" t="inlineStr">
        <is>
          <t>ÖREBRO LÄN</t>
        </is>
      </c>
      <c r="E1448" t="inlineStr">
        <is>
          <t>LINDESBERG</t>
        </is>
      </c>
      <c r="G1448" t="n">
        <v>2.4</v>
      </c>
      <c r="H1448" t="n">
        <v>0</v>
      </c>
      <c r="I1448" t="n">
        <v>0</v>
      </c>
      <c r="J1448" t="n">
        <v>0</v>
      </c>
      <c r="K1448" t="n">
        <v>0</v>
      </c>
      <c r="L1448" t="n">
        <v>0</v>
      </c>
      <c r="M1448" t="n">
        <v>0</v>
      </c>
      <c r="N1448" t="n">
        <v>0</v>
      </c>
      <c r="O1448" t="n">
        <v>0</v>
      </c>
      <c r="P1448" t="n">
        <v>0</v>
      </c>
      <c r="Q1448" t="n">
        <v>0</v>
      </c>
      <c r="R1448" s="2" t="inlineStr"/>
    </row>
    <row r="1449" ht="15" customHeight="1">
      <c r="A1449" t="inlineStr">
        <is>
          <t>A 36635-2022</t>
        </is>
      </c>
      <c r="B1449" s="1" t="n">
        <v>44804.70893518518</v>
      </c>
      <c r="C1449" s="1" t="n">
        <v>45952</v>
      </c>
      <c r="D1449" t="inlineStr">
        <is>
          <t>ÖREBRO LÄN</t>
        </is>
      </c>
      <c r="E1449" t="inlineStr">
        <is>
          <t>HÄLLEFORS</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29907-2024</t>
        </is>
      </c>
      <c r="B1450" s="1" t="n">
        <v>45487.82146990741</v>
      </c>
      <c r="C1450" s="1" t="n">
        <v>45952</v>
      </c>
      <c r="D1450" t="inlineStr">
        <is>
          <t>ÖREBRO LÄN</t>
        </is>
      </c>
      <c r="E1450" t="inlineStr">
        <is>
          <t>HALLSBERG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40430-2024</t>
        </is>
      </c>
      <c r="B1451" s="1" t="n">
        <v>45555.47060185186</v>
      </c>
      <c r="C1451" s="1" t="n">
        <v>45952</v>
      </c>
      <c r="D1451" t="inlineStr">
        <is>
          <t>ÖREBRO LÄN</t>
        </is>
      </c>
      <c r="E1451" t="inlineStr">
        <is>
          <t>LAXÅ</t>
        </is>
      </c>
      <c r="F1451" t="inlineStr">
        <is>
          <t>Sveaskog</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45038-2024</t>
        </is>
      </c>
      <c r="B1452" s="1" t="n">
        <v>45575.53331018519</v>
      </c>
      <c r="C1452" s="1" t="n">
        <v>45952</v>
      </c>
      <c r="D1452" t="inlineStr">
        <is>
          <t>ÖREBRO LÄN</t>
        </is>
      </c>
      <c r="E1452" t="inlineStr">
        <is>
          <t>LINDESBERG</t>
        </is>
      </c>
      <c r="F1452" t="inlineStr">
        <is>
          <t>Sveaskog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45046-2024</t>
        </is>
      </c>
      <c r="B1453" s="1" t="n">
        <v>45575.54489583334</v>
      </c>
      <c r="C1453" s="1" t="n">
        <v>45952</v>
      </c>
      <c r="D1453" t="inlineStr">
        <is>
          <t>ÖREBRO LÄN</t>
        </is>
      </c>
      <c r="E1453" t="inlineStr">
        <is>
          <t>LINDESBERG</t>
        </is>
      </c>
      <c r="F1453" t="inlineStr">
        <is>
          <t>Sveaskog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14169-2025</t>
        </is>
      </c>
      <c r="B1454" s="1" t="n">
        <v>45740.51894675926</v>
      </c>
      <c r="C1454" s="1" t="n">
        <v>45952</v>
      </c>
      <c r="D1454" t="inlineStr">
        <is>
          <t>ÖREBRO LÄN</t>
        </is>
      </c>
      <c r="E1454" t="inlineStr">
        <is>
          <t>LEKEBERG</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9009-2023</t>
        </is>
      </c>
      <c r="B1455" s="1" t="n">
        <v>44979</v>
      </c>
      <c r="C1455" s="1" t="n">
        <v>45952</v>
      </c>
      <c r="D1455" t="inlineStr">
        <is>
          <t>ÖREBRO LÄN</t>
        </is>
      </c>
      <c r="E1455" t="inlineStr">
        <is>
          <t>HÄLLEFORS</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12307-2025</t>
        </is>
      </c>
      <c r="B1456" s="1" t="n">
        <v>45729.76231481481</v>
      </c>
      <c r="C1456" s="1" t="n">
        <v>45952</v>
      </c>
      <c r="D1456" t="inlineStr">
        <is>
          <t>ÖREBRO LÄN</t>
        </is>
      </c>
      <c r="E1456" t="inlineStr">
        <is>
          <t>LINDESBERG</t>
        </is>
      </c>
      <c r="G1456" t="n">
        <v>9.699999999999999</v>
      </c>
      <c r="H1456" t="n">
        <v>0</v>
      </c>
      <c r="I1456" t="n">
        <v>0</v>
      </c>
      <c r="J1456" t="n">
        <v>0</v>
      </c>
      <c r="K1456" t="n">
        <v>0</v>
      </c>
      <c r="L1456" t="n">
        <v>0</v>
      </c>
      <c r="M1456" t="n">
        <v>0</v>
      </c>
      <c r="N1456" t="n">
        <v>0</v>
      </c>
      <c r="O1456" t="n">
        <v>0</v>
      </c>
      <c r="P1456" t="n">
        <v>0</v>
      </c>
      <c r="Q1456" t="n">
        <v>0</v>
      </c>
      <c r="R1456" s="2" t="inlineStr"/>
    </row>
    <row r="1457" ht="15" customHeight="1">
      <c r="A1457" t="inlineStr">
        <is>
          <t>A 32214-2024</t>
        </is>
      </c>
      <c r="B1457" s="1" t="n">
        <v>45511</v>
      </c>
      <c r="C1457" s="1" t="n">
        <v>45952</v>
      </c>
      <c r="D1457" t="inlineStr">
        <is>
          <t>ÖREBRO LÄN</t>
        </is>
      </c>
      <c r="E1457" t="inlineStr">
        <is>
          <t>ASKERSUND</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7134-2025</t>
        </is>
      </c>
      <c r="B1458" s="1" t="n">
        <v>45702</v>
      </c>
      <c r="C1458" s="1" t="n">
        <v>45952</v>
      </c>
      <c r="D1458" t="inlineStr">
        <is>
          <t>ÖREBRO LÄN</t>
        </is>
      </c>
      <c r="E1458" t="inlineStr">
        <is>
          <t>ÖREBRO</t>
        </is>
      </c>
      <c r="F1458" t="inlineStr">
        <is>
          <t>Övriga Aktiebolag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40425-2024</t>
        </is>
      </c>
      <c r="B1459" s="1" t="n">
        <v>45555.46884259259</v>
      </c>
      <c r="C1459" s="1" t="n">
        <v>45952</v>
      </c>
      <c r="D1459" t="inlineStr">
        <is>
          <t>ÖREBRO LÄN</t>
        </is>
      </c>
      <c r="E1459" t="inlineStr">
        <is>
          <t>LAXÅ</t>
        </is>
      </c>
      <c r="F1459" t="inlineStr">
        <is>
          <t>Sveaskog</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52131-2021</t>
        </is>
      </c>
      <c r="B1460" s="1" t="n">
        <v>44463</v>
      </c>
      <c r="C1460" s="1" t="n">
        <v>45952</v>
      </c>
      <c r="D1460" t="inlineStr">
        <is>
          <t>ÖREBRO LÄN</t>
        </is>
      </c>
      <c r="E1460" t="inlineStr">
        <is>
          <t>DEGERFORS</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49029-2024</t>
        </is>
      </c>
      <c r="B1461" s="1" t="n">
        <v>45594</v>
      </c>
      <c r="C1461" s="1" t="n">
        <v>45952</v>
      </c>
      <c r="D1461" t="inlineStr">
        <is>
          <t>ÖREBRO LÄN</t>
        </is>
      </c>
      <c r="E1461" t="inlineStr">
        <is>
          <t>ÖREBRO</t>
        </is>
      </c>
      <c r="G1461" t="n">
        <v>3.7</v>
      </c>
      <c r="H1461" t="n">
        <v>0</v>
      </c>
      <c r="I1461" t="n">
        <v>0</v>
      </c>
      <c r="J1461" t="n">
        <v>0</v>
      </c>
      <c r="K1461" t="n">
        <v>0</v>
      </c>
      <c r="L1461" t="n">
        <v>0</v>
      </c>
      <c r="M1461" t="n">
        <v>0</v>
      </c>
      <c r="N1461" t="n">
        <v>0</v>
      </c>
      <c r="O1461" t="n">
        <v>0</v>
      </c>
      <c r="P1461" t="n">
        <v>0</v>
      </c>
      <c r="Q1461" t="n">
        <v>0</v>
      </c>
      <c r="R1461" s="2" t="inlineStr"/>
    </row>
    <row r="1462" ht="15" customHeight="1">
      <c r="A1462" t="inlineStr">
        <is>
          <t>A 49062-2023</t>
        </is>
      </c>
      <c r="B1462" s="1" t="n">
        <v>45210.35119212963</v>
      </c>
      <c r="C1462" s="1" t="n">
        <v>45952</v>
      </c>
      <c r="D1462" t="inlineStr">
        <is>
          <t>ÖREBRO LÄN</t>
        </is>
      </c>
      <c r="E1462" t="inlineStr">
        <is>
          <t>ÖREBRO</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5657-2024</t>
        </is>
      </c>
      <c r="B1463" s="1" t="n">
        <v>45334</v>
      </c>
      <c r="C1463" s="1" t="n">
        <v>45952</v>
      </c>
      <c r="D1463" t="inlineStr">
        <is>
          <t>ÖREBRO LÄN</t>
        </is>
      </c>
      <c r="E1463" t="inlineStr">
        <is>
          <t>HÄLLEFORS</t>
        </is>
      </c>
      <c r="G1463" t="n">
        <v>0.3</v>
      </c>
      <c r="H1463" t="n">
        <v>0</v>
      </c>
      <c r="I1463" t="n">
        <v>0</v>
      </c>
      <c r="J1463" t="n">
        <v>0</v>
      </c>
      <c r="K1463" t="n">
        <v>0</v>
      </c>
      <c r="L1463" t="n">
        <v>0</v>
      </c>
      <c r="M1463" t="n">
        <v>0</v>
      </c>
      <c r="N1463" t="n">
        <v>0</v>
      </c>
      <c r="O1463" t="n">
        <v>0</v>
      </c>
      <c r="P1463" t="n">
        <v>0</v>
      </c>
      <c r="Q1463" t="n">
        <v>0</v>
      </c>
      <c r="R1463" s="2" t="inlineStr"/>
    </row>
    <row r="1464" ht="15" customHeight="1">
      <c r="A1464" t="inlineStr">
        <is>
          <t>A 18927-2025</t>
        </is>
      </c>
      <c r="B1464" s="1" t="n">
        <v>45764.4846412037</v>
      </c>
      <c r="C1464" s="1" t="n">
        <v>45952</v>
      </c>
      <c r="D1464" t="inlineStr">
        <is>
          <t>ÖREBRO LÄN</t>
        </is>
      </c>
      <c r="E1464" t="inlineStr">
        <is>
          <t>HÄLLEFORS</t>
        </is>
      </c>
      <c r="F1464" t="inlineStr">
        <is>
          <t>Bergvik skog väst AB</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18941-2025</t>
        </is>
      </c>
      <c r="B1465" s="1" t="n">
        <v>45764.495625</v>
      </c>
      <c r="C1465" s="1" t="n">
        <v>45952</v>
      </c>
      <c r="D1465" t="inlineStr">
        <is>
          <t>ÖREBRO LÄN</t>
        </is>
      </c>
      <c r="E1465" t="inlineStr">
        <is>
          <t>HÄLLEFORS</t>
        </is>
      </c>
      <c r="F1465" t="inlineStr">
        <is>
          <t>Bergvik skog väst AB</t>
        </is>
      </c>
      <c r="G1465" t="n">
        <v>3.7</v>
      </c>
      <c r="H1465" t="n">
        <v>0</v>
      </c>
      <c r="I1465" t="n">
        <v>0</v>
      </c>
      <c r="J1465" t="n">
        <v>0</v>
      </c>
      <c r="K1465" t="n">
        <v>0</v>
      </c>
      <c r="L1465" t="n">
        <v>0</v>
      </c>
      <c r="M1465" t="n">
        <v>0</v>
      </c>
      <c r="N1465" t="n">
        <v>0</v>
      </c>
      <c r="O1465" t="n">
        <v>0</v>
      </c>
      <c r="P1465" t="n">
        <v>0</v>
      </c>
      <c r="Q1465" t="n">
        <v>0</v>
      </c>
      <c r="R1465" s="2" t="inlineStr"/>
    </row>
    <row r="1466" ht="15" customHeight="1">
      <c r="A1466" t="inlineStr">
        <is>
          <t>A 53395-2021</t>
        </is>
      </c>
      <c r="B1466" s="1" t="n">
        <v>44468.62</v>
      </c>
      <c r="C1466" s="1" t="n">
        <v>45952</v>
      </c>
      <c r="D1466" t="inlineStr">
        <is>
          <t>ÖREBRO LÄN</t>
        </is>
      </c>
      <c r="E1466" t="inlineStr">
        <is>
          <t>LJUSNARSBERG</t>
        </is>
      </c>
      <c r="F1466" t="inlineStr">
        <is>
          <t>Bergvik skog väst AB</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15736-2025</t>
        </is>
      </c>
      <c r="B1467" s="1" t="n">
        <v>45748</v>
      </c>
      <c r="C1467" s="1" t="n">
        <v>45952</v>
      </c>
      <c r="D1467" t="inlineStr">
        <is>
          <t>ÖREBRO LÄN</t>
        </is>
      </c>
      <c r="E1467" t="inlineStr">
        <is>
          <t>LAXÅ</t>
        </is>
      </c>
      <c r="F1467" t="inlineStr">
        <is>
          <t>Sveaskog</t>
        </is>
      </c>
      <c r="G1467" t="n">
        <v>6</v>
      </c>
      <c r="H1467" t="n">
        <v>0</v>
      </c>
      <c r="I1467" t="n">
        <v>0</v>
      </c>
      <c r="J1467" t="n">
        <v>0</v>
      </c>
      <c r="K1467" t="n">
        <v>0</v>
      </c>
      <c r="L1467" t="n">
        <v>0</v>
      </c>
      <c r="M1467" t="n">
        <v>0</v>
      </c>
      <c r="N1467" t="n">
        <v>0</v>
      </c>
      <c r="O1467" t="n">
        <v>0</v>
      </c>
      <c r="P1467" t="n">
        <v>0</v>
      </c>
      <c r="Q1467" t="n">
        <v>0</v>
      </c>
      <c r="R1467" s="2" t="inlineStr"/>
    </row>
    <row r="1468" ht="15" customHeight="1">
      <c r="A1468" t="inlineStr">
        <is>
          <t>A 15852-2025</t>
        </is>
      </c>
      <c r="B1468" s="1" t="n">
        <v>45749</v>
      </c>
      <c r="C1468" s="1" t="n">
        <v>45952</v>
      </c>
      <c r="D1468" t="inlineStr">
        <is>
          <t>ÖREBRO LÄN</t>
        </is>
      </c>
      <c r="E1468" t="inlineStr">
        <is>
          <t>LINDESBERG</t>
        </is>
      </c>
      <c r="G1468" t="n">
        <v>8.9</v>
      </c>
      <c r="H1468" t="n">
        <v>0</v>
      </c>
      <c r="I1468" t="n">
        <v>0</v>
      </c>
      <c r="J1468" t="n">
        <v>0</v>
      </c>
      <c r="K1468" t="n">
        <v>0</v>
      </c>
      <c r="L1468" t="n">
        <v>0</v>
      </c>
      <c r="M1468" t="n">
        <v>0</v>
      </c>
      <c r="N1468" t="n">
        <v>0</v>
      </c>
      <c r="O1468" t="n">
        <v>0</v>
      </c>
      <c r="P1468" t="n">
        <v>0</v>
      </c>
      <c r="Q1468" t="n">
        <v>0</v>
      </c>
      <c r="R1468" s="2" t="inlineStr"/>
    </row>
    <row r="1469" ht="15" customHeight="1">
      <c r="A1469" t="inlineStr">
        <is>
          <t>A 67885-2020</t>
        </is>
      </c>
      <c r="B1469" s="1" t="n">
        <v>44182</v>
      </c>
      <c r="C1469" s="1" t="n">
        <v>45952</v>
      </c>
      <c r="D1469" t="inlineStr">
        <is>
          <t>ÖREBRO LÄN</t>
        </is>
      </c>
      <c r="E1469" t="inlineStr">
        <is>
          <t>LAXÅ</t>
        </is>
      </c>
      <c r="F1469" t="inlineStr">
        <is>
          <t>Sveaskog</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57234-2024</t>
        </is>
      </c>
      <c r="B1470" s="1" t="n">
        <v>45629.54484953704</v>
      </c>
      <c r="C1470" s="1" t="n">
        <v>45952</v>
      </c>
      <c r="D1470" t="inlineStr">
        <is>
          <t>ÖREBRO LÄN</t>
        </is>
      </c>
      <c r="E1470" t="inlineStr">
        <is>
          <t>DEGERFORS</t>
        </is>
      </c>
      <c r="F1470" t="inlineStr">
        <is>
          <t>Sveaskog</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18978-2025</t>
        </is>
      </c>
      <c r="B1471" s="1" t="n">
        <v>45764.54626157408</v>
      </c>
      <c r="C1471" s="1" t="n">
        <v>45952</v>
      </c>
      <c r="D1471" t="inlineStr">
        <is>
          <t>ÖREBRO LÄN</t>
        </is>
      </c>
      <c r="E1471" t="inlineStr">
        <is>
          <t>KARLSKOGA</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8834-2023</t>
        </is>
      </c>
      <c r="B1472" s="1" t="n">
        <v>44978</v>
      </c>
      <c r="C1472" s="1" t="n">
        <v>45952</v>
      </c>
      <c r="D1472" t="inlineStr">
        <is>
          <t>ÖREBRO LÄN</t>
        </is>
      </c>
      <c r="E1472" t="inlineStr">
        <is>
          <t>LINDESBERG</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8852-2023</t>
        </is>
      </c>
      <c r="B1473" s="1" t="n">
        <v>44978.8515625</v>
      </c>
      <c r="C1473" s="1" t="n">
        <v>45952</v>
      </c>
      <c r="D1473" t="inlineStr">
        <is>
          <t>ÖREBRO LÄN</t>
        </is>
      </c>
      <c r="E1473" t="inlineStr">
        <is>
          <t>KUMLA</t>
        </is>
      </c>
      <c r="G1473" t="n">
        <v>0.1</v>
      </c>
      <c r="H1473" t="n">
        <v>0</v>
      </c>
      <c r="I1473" t="n">
        <v>0</v>
      </c>
      <c r="J1473" t="n">
        <v>0</v>
      </c>
      <c r="K1473" t="n">
        <v>0</v>
      </c>
      <c r="L1473" t="n">
        <v>0</v>
      </c>
      <c r="M1473" t="n">
        <v>0</v>
      </c>
      <c r="N1473" t="n">
        <v>0</v>
      </c>
      <c r="O1473" t="n">
        <v>0</v>
      </c>
      <c r="P1473" t="n">
        <v>0</v>
      </c>
      <c r="Q1473" t="n">
        <v>0</v>
      </c>
      <c r="R1473" s="2" t="inlineStr"/>
    </row>
    <row r="1474" ht="15" customHeight="1">
      <c r="A1474" t="inlineStr">
        <is>
          <t>A 40275-2024</t>
        </is>
      </c>
      <c r="B1474" s="1" t="n">
        <v>45554.64908564815</v>
      </c>
      <c r="C1474" s="1" t="n">
        <v>45952</v>
      </c>
      <c r="D1474" t="inlineStr">
        <is>
          <t>ÖREBRO LÄN</t>
        </is>
      </c>
      <c r="E1474" t="inlineStr">
        <is>
          <t>KUMLA</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71288-2021</t>
        </is>
      </c>
      <c r="B1475" s="1" t="n">
        <v>44539.62481481482</v>
      </c>
      <c r="C1475" s="1" t="n">
        <v>45952</v>
      </c>
      <c r="D1475" t="inlineStr">
        <is>
          <t>ÖREBRO LÄN</t>
        </is>
      </c>
      <c r="E1475" t="inlineStr">
        <is>
          <t>ÖREBRO</t>
        </is>
      </c>
      <c r="G1475" t="n">
        <v>3.9</v>
      </c>
      <c r="H1475" t="n">
        <v>0</v>
      </c>
      <c r="I1475" t="n">
        <v>0</v>
      </c>
      <c r="J1475" t="n">
        <v>0</v>
      </c>
      <c r="K1475" t="n">
        <v>0</v>
      </c>
      <c r="L1475" t="n">
        <v>0</v>
      </c>
      <c r="M1475" t="n">
        <v>0</v>
      </c>
      <c r="N1475" t="n">
        <v>0</v>
      </c>
      <c r="O1475" t="n">
        <v>0</v>
      </c>
      <c r="P1475" t="n">
        <v>0</v>
      </c>
      <c r="Q1475" t="n">
        <v>0</v>
      </c>
      <c r="R1475" s="2" t="inlineStr"/>
    </row>
    <row r="1476" ht="15" customHeight="1">
      <c r="A1476" t="inlineStr">
        <is>
          <t>A 26260-2024</t>
        </is>
      </c>
      <c r="B1476" s="1" t="n">
        <v>45468.65731481482</v>
      </c>
      <c r="C1476" s="1" t="n">
        <v>45952</v>
      </c>
      <c r="D1476" t="inlineStr">
        <is>
          <t>ÖREBRO LÄN</t>
        </is>
      </c>
      <c r="E1476" t="inlineStr">
        <is>
          <t>LJUSNARSBERG</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37849-2023</t>
        </is>
      </c>
      <c r="B1477" s="1" t="n">
        <v>45158</v>
      </c>
      <c r="C1477" s="1" t="n">
        <v>45952</v>
      </c>
      <c r="D1477" t="inlineStr">
        <is>
          <t>ÖREBRO LÄN</t>
        </is>
      </c>
      <c r="E1477" t="inlineStr">
        <is>
          <t>NORA</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63213-2023</t>
        </is>
      </c>
      <c r="B1478" s="1" t="n">
        <v>45272</v>
      </c>
      <c r="C1478" s="1" t="n">
        <v>45952</v>
      </c>
      <c r="D1478" t="inlineStr">
        <is>
          <t>ÖREBRO LÄN</t>
        </is>
      </c>
      <c r="E1478" t="inlineStr">
        <is>
          <t>HALLSBERG</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52518-2022</t>
        </is>
      </c>
      <c r="B1479" s="1" t="n">
        <v>44874</v>
      </c>
      <c r="C1479" s="1" t="n">
        <v>45952</v>
      </c>
      <c r="D1479" t="inlineStr">
        <is>
          <t>ÖREBRO LÄN</t>
        </is>
      </c>
      <c r="E1479" t="inlineStr">
        <is>
          <t>ASKERSUND</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52490-2024</t>
        </is>
      </c>
      <c r="B1480" s="1" t="n">
        <v>45609.55875</v>
      </c>
      <c r="C1480" s="1" t="n">
        <v>45952</v>
      </c>
      <c r="D1480" t="inlineStr">
        <is>
          <t>ÖREBRO LÄN</t>
        </is>
      </c>
      <c r="E1480" t="inlineStr">
        <is>
          <t>DEGERFORS</t>
        </is>
      </c>
      <c r="F1480" t="inlineStr">
        <is>
          <t>Sveaskog</t>
        </is>
      </c>
      <c r="G1480" t="n">
        <v>6.4</v>
      </c>
      <c r="H1480" t="n">
        <v>0</v>
      </c>
      <c r="I1480" t="n">
        <v>0</v>
      </c>
      <c r="J1480" t="n">
        <v>0</v>
      </c>
      <c r="K1480" t="n">
        <v>0</v>
      </c>
      <c r="L1480" t="n">
        <v>0</v>
      </c>
      <c r="M1480" t="n">
        <v>0</v>
      </c>
      <c r="N1480" t="n">
        <v>0</v>
      </c>
      <c r="O1480" t="n">
        <v>0</v>
      </c>
      <c r="P1480" t="n">
        <v>0</v>
      </c>
      <c r="Q1480" t="n">
        <v>0</v>
      </c>
      <c r="R1480" s="2" t="inlineStr"/>
    </row>
    <row r="1481" ht="15" customHeight="1">
      <c r="A1481" t="inlineStr">
        <is>
          <t>A 35829-2024</t>
        </is>
      </c>
      <c r="B1481" s="1" t="n">
        <v>45532</v>
      </c>
      <c r="C1481" s="1" t="n">
        <v>45952</v>
      </c>
      <c r="D1481" t="inlineStr">
        <is>
          <t>ÖREBRO LÄN</t>
        </is>
      </c>
      <c r="E1481" t="inlineStr">
        <is>
          <t>ÖREBRO</t>
        </is>
      </c>
      <c r="G1481" t="n">
        <v>4.6</v>
      </c>
      <c r="H1481" t="n">
        <v>0</v>
      </c>
      <c r="I1481" t="n">
        <v>0</v>
      </c>
      <c r="J1481" t="n">
        <v>0</v>
      </c>
      <c r="K1481" t="n">
        <v>0</v>
      </c>
      <c r="L1481" t="n">
        <v>0</v>
      </c>
      <c r="M1481" t="n">
        <v>0</v>
      </c>
      <c r="N1481" t="n">
        <v>0</v>
      </c>
      <c r="O1481" t="n">
        <v>0</v>
      </c>
      <c r="P1481" t="n">
        <v>0</v>
      </c>
      <c r="Q1481" t="n">
        <v>0</v>
      </c>
      <c r="R1481" s="2" t="inlineStr"/>
    </row>
    <row r="1482" ht="15" customHeight="1">
      <c r="A1482" t="inlineStr">
        <is>
          <t>A 35850-2024</t>
        </is>
      </c>
      <c r="B1482" s="1" t="n">
        <v>45532.89505787037</v>
      </c>
      <c r="C1482" s="1" t="n">
        <v>45952</v>
      </c>
      <c r="D1482" t="inlineStr">
        <is>
          <t>ÖREBRO LÄN</t>
        </is>
      </c>
      <c r="E1482" t="inlineStr">
        <is>
          <t>LAXÅ</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53189-2023</t>
        </is>
      </c>
      <c r="B1483" s="1" t="n">
        <v>45194</v>
      </c>
      <c r="C1483" s="1" t="n">
        <v>45952</v>
      </c>
      <c r="D1483" t="inlineStr">
        <is>
          <t>ÖREBRO LÄN</t>
        </is>
      </c>
      <c r="E1483" t="inlineStr">
        <is>
          <t>LINDESBERG</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1309-2024</t>
        </is>
      </c>
      <c r="B1484" s="1" t="n">
        <v>45303</v>
      </c>
      <c r="C1484" s="1" t="n">
        <v>45952</v>
      </c>
      <c r="D1484" t="inlineStr">
        <is>
          <t>ÖREBRO LÄN</t>
        </is>
      </c>
      <c r="E1484" t="inlineStr">
        <is>
          <t>KARLSKOGA</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37672-2024</t>
        </is>
      </c>
      <c r="B1485" s="1" t="n">
        <v>45541.57966435186</v>
      </c>
      <c r="C1485" s="1" t="n">
        <v>45952</v>
      </c>
      <c r="D1485" t="inlineStr">
        <is>
          <t>ÖREBRO LÄN</t>
        </is>
      </c>
      <c r="E1485" t="inlineStr">
        <is>
          <t>DEGERFORS</t>
        </is>
      </c>
      <c r="F1485" t="inlineStr">
        <is>
          <t>Sveaskog</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51071-2022</t>
        </is>
      </c>
      <c r="B1486" s="1" t="n">
        <v>44868.36924768519</v>
      </c>
      <c r="C1486" s="1" t="n">
        <v>45952</v>
      </c>
      <c r="D1486" t="inlineStr">
        <is>
          <t>ÖREBRO LÄN</t>
        </is>
      </c>
      <c r="E1486" t="inlineStr">
        <is>
          <t>LINDESBERG</t>
        </is>
      </c>
      <c r="F1486" t="inlineStr">
        <is>
          <t>Sveaskog</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12651-2024</t>
        </is>
      </c>
      <c r="B1487" s="1" t="n">
        <v>45384</v>
      </c>
      <c r="C1487" s="1" t="n">
        <v>45952</v>
      </c>
      <c r="D1487" t="inlineStr">
        <is>
          <t>ÖREBRO LÄN</t>
        </is>
      </c>
      <c r="E1487" t="inlineStr">
        <is>
          <t>LAXÅ</t>
        </is>
      </c>
      <c r="F1487" t="inlineStr">
        <is>
          <t>Sveaskog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24760-2024</t>
        </is>
      </c>
      <c r="B1488" s="1" t="n">
        <v>45460.68122685186</v>
      </c>
      <c r="C1488" s="1" t="n">
        <v>45952</v>
      </c>
      <c r="D1488" t="inlineStr">
        <is>
          <t>ÖREBRO LÄN</t>
        </is>
      </c>
      <c r="E1488" t="inlineStr">
        <is>
          <t>HALLSBERG</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32994-2024</t>
        </is>
      </c>
      <c r="B1489" s="1" t="n">
        <v>45517.47724537037</v>
      </c>
      <c r="C1489" s="1" t="n">
        <v>45952</v>
      </c>
      <c r="D1489" t="inlineStr">
        <is>
          <t>ÖREBRO LÄN</t>
        </is>
      </c>
      <c r="E1489" t="inlineStr">
        <is>
          <t>ASKERSUND</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45237-2023</t>
        </is>
      </c>
      <c r="B1490" s="1" t="n">
        <v>45191</v>
      </c>
      <c r="C1490" s="1" t="n">
        <v>45952</v>
      </c>
      <c r="D1490" t="inlineStr">
        <is>
          <t>ÖREBRO LÄN</t>
        </is>
      </c>
      <c r="E1490" t="inlineStr">
        <is>
          <t>ÖREBRO</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55851-2023</t>
        </is>
      </c>
      <c r="B1491" s="1" t="n">
        <v>45239.65712962963</v>
      </c>
      <c r="C1491" s="1" t="n">
        <v>45952</v>
      </c>
      <c r="D1491" t="inlineStr">
        <is>
          <t>ÖREBRO LÄN</t>
        </is>
      </c>
      <c r="E1491" t="inlineStr">
        <is>
          <t>HALLSBERG</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60926-2024</t>
        </is>
      </c>
      <c r="B1492" s="1" t="n">
        <v>45645</v>
      </c>
      <c r="C1492" s="1" t="n">
        <v>45952</v>
      </c>
      <c r="D1492" t="inlineStr">
        <is>
          <t>ÖREBRO LÄN</t>
        </is>
      </c>
      <c r="E1492" t="inlineStr">
        <is>
          <t>LINDESBERG</t>
        </is>
      </c>
      <c r="F1492" t="inlineStr">
        <is>
          <t>Sveaskog</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1383-2025</t>
        </is>
      </c>
      <c r="B1493" s="1" t="n">
        <v>45667</v>
      </c>
      <c r="C1493" s="1" t="n">
        <v>45952</v>
      </c>
      <c r="D1493" t="inlineStr">
        <is>
          <t>ÖREBRO LÄN</t>
        </is>
      </c>
      <c r="E1493" t="inlineStr">
        <is>
          <t>LINDESBERG</t>
        </is>
      </c>
      <c r="G1493" t="n">
        <v>5</v>
      </c>
      <c r="H1493" t="n">
        <v>0</v>
      </c>
      <c r="I1493" t="n">
        <v>0</v>
      </c>
      <c r="J1493" t="n">
        <v>0</v>
      </c>
      <c r="K1493" t="n">
        <v>0</v>
      </c>
      <c r="L1493" t="n">
        <v>0</v>
      </c>
      <c r="M1493" t="n">
        <v>0</v>
      </c>
      <c r="N1493" t="n">
        <v>0</v>
      </c>
      <c r="O1493" t="n">
        <v>0</v>
      </c>
      <c r="P1493" t="n">
        <v>0</v>
      </c>
      <c r="Q1493" t="n">
        <v>0</v>
      </c>
      <c r="R1493" s="2" t="inlineStr"/>
    </row>
    <row r="1494" ht="15" customHeight="1">
      <c r="A1494" t="inlineStr">
        <is>
          <t>A 23649-2023</t>
        </is>
      </c>
      <c r="B1494" s="1" t="n">
        <v>45074</v>
      </c>
      <c r="C1494" s="1" t="n">
        <v>45952</v>
      </c>
      <c r="D1494" t="inlineStr">
        <is>
          <t>ÖREBRO LÄN</t>
        </is>
      </c>
      <c r="E1494" t="inlineStr">
        <is>
          <t>LINDESBERG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26412-2023</t>
        </is>
      </c>
      <c r="B1495" s="1" t="n">
        <v>45092.37815972222</v>
      </c>
      <c r="C1495" s="1" t="n">
        <v>45952</v>
      </c>
      <c r="D1495" t="inlineStr">
        <is>
          <t>ÖREBRO LÄN</t>
        </is>
      </c>
      <c r="E1495" t="inlineStr">
        <is>
          <t>LAXÅ</t>
        </is>
      </c>
      <c r="F1495" t="inlineStr">
        <is>
          <t>Sveaskog</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45041-2024</t>
        </is>
      </c>
      <c r="B1496" s="1" t="n">
        <v>45575.53690972222</v>
      </c>
      <c r="C1496" s="1" t="n">
        <v>45952</v>
      </c>
      <c r="D1496" t="inlineStr">
        <is>
          <t>ÖREBRO LÄN</t>
        </is>
      </c>
      <c r="E1496" t="inlineStr">
        <is>
          <t>LINDESBERG</t>
        </is>
      </c>
      <c r="F1496" t="inlineStr">
        <is>
          <t>Sveaskog</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62843-2021</t>
        </is>
      </c>
      <c r="B1497" s="1" t="n">
        <v>44503</v>
      </c>
      <c r="C1497" s="1" t="n">
        <v>45952</v>
      </c>
      <c r="D1497" t="inlineStr">
        <is>
          <t>ÖREBRO LÄN</t>
        </is>
      </c>
      <c r="E1497" t="inlineStr">
        <is>
          <t>LJUSNARSBERG</t>
        </is>
      </c>
      <c r="F1497" t="inlineStr">
        <is>
          <t>Bergvik skog väst AB</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45068-2024</t>
        </is>
      </c>
      <c r="B1498" s="1" t="n">
        <v>45575.56256944445</v>
      </c>
      <c r="C1498" s="1" t="n">
        <v>45952</v>
      </c>
      <c r="D1498" t="inlineStr">
        <is>
          <t>ÖREBRO LÄN</t>
        </is>
      </c>
      <c r="E1498" t="inlineStr">
        <is>
          <t>LINDESBERG</t>
        </is>
      </c>
      <c r="F1498" t="inlineStr">
        <is>
          <t>Sveaskog</t>
        </is>
      </c>
      <c r="G1498" t="n">
        <v>16.5</v>
      </c>
      <c r="H1498" t="n">
        <v>0</v>
      </c>
      <c r="I1498" t="n">
        <v>0</v>
      </c>
      <c r="J1498" t="n">
        <v>0</v>
      </c>
      <c r="K1498" t="n">
        <v>0</v>
      </c>
      <c r="L1498" t="n">
        <v>0</v>
      </c>
      <c r="M1498" t="n">
        <v>0</v>
      </c>
      <c r="N1498" t="n">
        <v>0</v>
      </c>
      <c r="O1498" t="n">
        <v>0</v>
      </c>
      <c r="P1498" t="n">
        <v>0</v>
      </c>
      <c r="Q1498" t="n">
        <v>0</v>
      </c>
      <c r="R1498" s="2" t="inlineStr"/>
    </row>
    <row r="1499" ht="15" customHeight="1">
      <c r="A1499" t="inlineStr">
        <is>
          <t>A 13168-2023</t>
        </is>
      </c>
      <c r="B1499" s="1" t="n">
        <v>45002</v>
      </c>
      <c r="C1499" s="1" t="n">
        <v>45952</v>
      </c>
      <c r="D1499" t="inlineStr">
        <is>
          <t>ÖREBRO LÄN</t>
        </is>
      </c>
      <c r="E1499" t="inlineStr">
        <is>
          <t>HALLSBERG</t>
        </is>
      </c>
      <c r="F1499" t="inlineStr">
        <is>
          <t>Allmännings- och besparingsskogar</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1813-2024</t>
        </is>
      </c>
      <c r="B1500" s="1" t="n">
        <v>45307.60575231481</v>
      </c>
      <c r="C1500" s="1" t="n">
        <v>45952</v>
      </c>
      <c r="D1500" t="inlineStr">
        <is>
          <t>ÖREBRO LÄN</t>
        </is>
      </c>
      <c r="E1500" t="inlineStr">
        <is>
          <t>ASKERSUND</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7137-2024</t>
        </is>
      </c>
      <c r="B1501" s="1" t="n">
        <v>45344.37394675926</v>
      </c>
      <c r="C1501" s="1" t="n">
        <v>45952</v>
      </c>
      <c r="D1501" t="inlineStr">
        <is>
          <t>ÖREBRO LÄN</t>
        </is>
      </c>
      <c r="E1501" t="inlineStr">
        <is>
          <t>LAXÅ</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29938-2024</t>
        </is>
      </c>
      <c r="B1502" s="1" t="n">
        <v>45488.41480324074</v>
      </c>
      <c r="C1502" s="1" t="n">
        <v>45952</v>
      </c>
      <c r="D1502" t="inlineStr">
        <is>
          <t>ÖREBRO LÄN</t>
        </is>
      </c>
      <c r="E1502" t="inlineStr">
        <is>
          <t>LINDESBERG</t>
        </is>
      </c>
      <c r="G1502" t="n">
        <v>4</v>
      </c>
      <c r="H1502" t="n">
        <v>0</v>
      </c>
      <c r="I1502" t="n">
        <v>0</v>
      </c>
      <c r="J1502" t="n">
        <v>0</v>
      </c>
      <c r="K1502" t="n">
        <v>0</v>
      </c>
      <c r="L1502" t="n">
        <v>0</v>
      </c>
      <c r="M1502" t="n">
        <v>0</v>
      </c>
      <c r="N1502" t="n">
        <v>0</v>
      </c>
      <c r="O1502" t="n">
        <v>0</v>
      </c>
      <c r="P1502" t="n">
        <v>0</v>
      </c>
      <c r="Q1502" t="n">
        <v>0</v>
      </c>
      <c r="R1502" s="2" t="inlineStr"/>
    </row>
    <row r="1503" ht="15" customHeight="1">
      <c r="A1503" t="inlineStr">
        <is>
          <t>A 68080-2020</t>
        </is>
      </c>
      <c r="B1503" s="1" t="n">
        <v>44183</v>
      </c>
      <c r="C1503" s="1" t="n">
        <v>45952</v>
      </c>
      <c r="D1503" t="inlineStr">
        <is>
          <t>ÖREBRO LÄN</t>
        </is>
      </c>
      <c r="E1503" t="inlineStr">
        <is>
          <t>LAXÅ</t>
        </is>
      </c>
      <c r="F1503" t="inlineStr">
        <is>
          <t>Sveaskog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15114-2024</t>
        </is>
      </c>
      <c r="B1504" s="1" t="n">
        <v>45399.68209490741</v>
      </c>
      <c r="C1504" s="1" t="n">
        <v>45952</v>
      </c>
      <c r="D1504" t="inlineStr">
        <is>
          <t>ÖREBRO LÄN</t>
        </is>
      </c>
      <c r="E1504" t="inlineStr">
        <is>
          <t>LJUSNARSBERG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26165-2022</t>
        </is>
      </c>
      <c r="B1505" s="1" t="n">
        <v>44734</v>
      </c>
      <c r="C1505" s="1" t="n">
        <v>45952</v>
      </c>
      <c r="D1505" t="inlineStr">
        <is>
          <t>ÖREBRO LÄN</t>
        </is>
      </c>
      <c r="E1505" t="inlineStr">
        <is>
          <t>LJUSNARSBERG</t>
        </is>
      </c>
      <c r="F1505" t="inlineStr">
        <is>
          <t>Bergvik skog väst AB</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48285-2023</t>
        </is>
      </c>
      <c r="B1506" s="1" t="n">
        <v>45205.55755787037</v>
      </c>
      <c r="C1506" s="1" t="n">
        <v>45952</v>
      </c>
      <c r="D1506" t="inlineStr">
        <is>
          <t>ÖREBRO LÄN</t>
        </is>
      </c>
      <c r="E1506" t="inlineStr">
        <is>
          <t>DEGERFORS</t>
        </is>
      </c>
      <c r="F1506" t="inlineStr">
        <is>
          <t>Sveaskog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34527-2024</t>
        </is>
      </c>
      <c r="B1507" s="1" t="n">
        <v>45525</v>
      </c>
      <c r="C1507" s="1" t="n">
        <v>45952</v>
      </c>
      <c r="D1507" t="inlineStr">
        <is>
          <t>ÖREBRO LÄN</t>
        </is>
      </c>
      <c r="E1507" t="inlineStr">
        <is>
          <t>HALLSBERG</t>
        </is>
      </c>
      <c r="F1507" t="inlineStr">
        <is>
          <t>Allmännings- och besparingsskogar</t>
        </is>
      </c>
      <c r="G1507" t="n">
        <v>4.8</v>
      </c>
      <c r="H1507" t="n">
        <v>0</v>
      </c>
      <c r="I1507" t="n">
        <v>0</v>
      </c>
      <c r="J1507" t="n">
        <v>0</v>
      </c>
      <c r="K1507" t="n">
        <v>0</v>
      </c>
      <c r="L1507" t="n">
        <v>0</v>
      </c>
      <c r="M1507" t="n">
        <v>0</v>
      </c>
      <c r="N1507" t="n">
        <v>0</v>
      </c>
      <c r="O1507" t="n">
        <v>0</v>
      </c>
      <c r="P1507" t="n">
        <v>0</v>
      </c>
      <c r="Q1507" t="n">
        <v>0</v>
      </c>
      <c r="R1507" s="2" t="inlineStr"/>
    </row>
    <row r="1508" ht="15" customHeight="1">
      <c r="A1508" t="inlineStr">
        <is>
          <t>A 49943-2024</t>
        </is>
      </c>
      <c r="B1508" s="1" t="n">
        <v>45597.6003125</v>
      </c>
      <c r="C1508" s="1" t="n">
        <v>45952</v>
      </c>
      <c r="D1508" t="inlineStr">
        <is>
          <t>ÖREBRO LÄN</t>
        </is>
      </c>
      <c r="E1508" t="inlineStr">
        <is>
          <t>LAXÅ</t>
        </is>
      </c>
      <c r="F1508" t="inlineStr">
        <is>
          <t>Sveaskog</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58477-2024</t>
        </is>
      </c>
      <c r="B1509" s="1" t="n">
        <v>45635.38418981482</v>
      </c>
      <c r="C1509" s="1" t="n">
        <v>45952</v>
      </c>
      <c r="D1509" t="inlineStr">
        <is>
          <t>ÖREBRO LÄN</t>
        </is>
      </c>
      <c r="E1509" t="inlineStr">
        <is>
          <t>DEGERFORS</t>
        </is>
      </c>
      <c r="F1509" t="inlineStr">
        <is>
          <t>Sveaskog</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16374-2022</t>
        </is>
      </c>
      <c r="B1510" s="1" t="n">
        <v>44671</v>
      </c>
      <c r="C1510" s="1" t="n">
        <v>45952</v>
      </c>
      <c r="D1510" t="inlineStr">
        <is>
          <t>ÖREBRO LÄN</t>
        </is>
      </c>
      <c r="E1510" t="inlineStr">
        <is>
          <t>ÖREBRO</t>
        </is>
      </c>
      <c r="F1510" t="inlineStr">
        <is>
          <t>Övriga Aktiebolag</t>
        </is>
      </c>
      <c r="G1510" t="n">
        <v>30.3</v>
      </c>
      <c r="H1510" t="n">
        <v>0</v>
      </c>
      <c r="I1510" t="n">
        <v>0</v>
      </c>
      <c r="J1510" t="n">
        <v>0</v>
      </c>
      <c r="K1510" t="n">
        <v>0</v>
      </c>
      <c r="L1510" t="n">
        <v>0</v>
      </c>
      <c r="M1510" t="n">
        <v>0</v>
      </c>
      <c r="N1510" t="n">
        <v>0</v>
      </c>
      <c r="O1510" t="n">
        <v>0</v>
      </c>
      <c r="P1510" t="n">
        <v>0</v>
      </c>
      <c r="Q1510" t="n">
        <v>0</v>
      </c>
      <c r="R1510" s="2" t="inlineStr"/>
    </row>
    <row r="1511" ht="15" customHeight="1">
      <c r="A1511" t="inlineStr">
        <is>
          <t>A 35229-2024</t>
        </is>
      </c>
      <c r="B1511" s="1" t="n">
        <v>45530</v>
      </c>
      <c r="C1511" s="1" t="n">
        <v>45952</v>
      </c>
      <c r="D1511" t="inlineStr">
        <is>
          <t>ÖREBRO LÄN</t>
        </is>
      </c>
      <c r="E1511" t="inlineStr">
        <is>
          <t>LINDESBERG</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47535-2022</t>
        </is>
      </c>
      <c r="B1512" s="1" t="n">
        <v>44853.79818287037</v>
      </c>
      <c r="C1512" s="1" t="n">
        <v>45952</v>
      </c>
      <c r="D1512" t="inlineStr">
        <is>
          <t>ÖREBRO LÄN</t>
        </is>
      </c>
      <c r="E1512" t="inlineStr">
        <is>
          <t>LINDESBERG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41777-2021</t>
        </is>
      </c>
      <c r="B1513" s="1" t="n">
        <v>44425.65414351852</v>
      </c>
      <c r="C1513" s="1" t="n">
        <v>45952</v>
      </c>
      <c r="D1513" t="inlineStr">
        <is>
          <t>ÖREBRO LÄN</t>
        </is>
      </c>
      <c r="E1513" t="inlineStr">
        <is>
          <t>KARLSKOGA</t>
        </is>
      </c>
      <c r="F1513" t="inlineStr">
        <is>
          <t>Sveaskog</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41779-2021</t>
        </is>
      </c>
      <c r="B1514" s="1" t="n">
        <v>44425.655625</v>
      </c>
      <c r="C1514" s="1" t="n">
        <v>45952</v>
      </c>
      <c r="D1514" t="inlineStr">
        <is>
          <t>ÖREBRO LÄN</t>
        </is>
      </c>
      <c r="E1514" t="inlineStr">
        <is>
          <t>KARLSKOGA</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21468-2024</t>
        </is>
      </c>
      <c r="B1515" s="1" t="n">
        <v>45441.48670138889</v>
      </c>
      <c r="C1515" s="1" t="n">
        <v>45952</v>
      </c>
      <c r="D1515" t="inlineStr">
        <is>
          <t>ÖREBRO LÄN</t>
        </is>
      </c>
      <c r="E1515" t="inlineStr">
        <is>
          <t>LINDESBERG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27956-2023</t>
        </is>
      </c>
      <c r="B1516" s="1" t="n">
        <v>45098</v>
      </c>
      <c r="C1516" s="1" t="n">
        <v>45952</v>
      </c>
      <c r="D1516" t="inlineStr">
        <is>
          <t>ÖREBRO LÄN</t>
        </is>
      </c>
      <c r="E1516" t="inlineStr">
        <is>
          <t>ÖREBRO</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47190-2022</t>
        </is>
      </c>
      <c r="B1517" s="1" t="n">
        <v>44852</v>
      </c>
      <c r="C1517" s="1" t="n">
        <v>45952</v>
      </c>
      <c r="D1517" t="inlineStr">
        <is>
          <t>ÖREBRO LÄN</t>
        </is>
      </c>
      <c r="E1517" t="inlineStr">
        <is>
          <t>HÄLLEFORS</t>
        </is>
      </c>
      <c r="F1517" t="inlineStr">
        <is>
          <t>Bergvik skog väst AB</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50285-2022</t>
        </is>
      </c>
      <c r="B1518" s="1" t="n">
        <v>44865.87770833333</v>
      </c>
      <c r="C1518" s="1" t="n">
        <v>45952</v>
      </c>
      <c r="D1518" t="inlineStr">
        <is>
          <t>ÖREBRO LÄN</t>
        </is>
      </c>
      <c r="E1518" t="inlineStr">
        <is>
          <t>LINDESBERG</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43433-2024</t>
        </is>
      </c>
      <c r="B1519" s="1" t="n">
        <v>45568.64523148148</v>
      </c>
      <c r="C1519" s="1" t="n">
        <v>45952</v>
      </c>
      <c r="D1519" t="inlineStr">
        <is>
          <t>ÖREBRO LÄN</t>
        </is>
      </c>
      <c r="E1519" t="inlineStr">
        <is>
          <t>LINDESBERG</t>
        </is>
      </c>
      <c r="F1519" t="inlineStr">
        <is>
          <t>Sveaskog</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13321-2024</t>
        </is>
      </c>
      <c r="B1520" s="1" t="n">
        <v>45386.83142361111</v>
      </c>
      <c r="C1520" s="1" t="n">
        <v>45952</v>
      </c>
      <c r="D1520" t="inlineStr">
        <is>
          <t>ÖREBRO LÄN</t>
        </is>
      </c>
      <c r="E1520" t="inlineStr">
        <is>
          <t>ÖREBRO</t>
        </is>
      </c>
      <c r="G1520" t="n">
        <v>13.1</v>
      </c>
      <c r="H1520" t="n">
        <v>0</v>
      </c>
      <c r="I1520" t="n">
        <v>0</v>
      </c>
      <c r="J1520" t="n">
        <v>0</v>
      </c>
      <c r="K1520" t="n">
        <v>0</v>
      </c>
      <c r="L1520" t="n">
        <v>0</v>
      </c>
      <c r="M1520" t="n">
        <v>0</v>
      </c>
      <c r="N1520" t="n">
        <v>0</v>
      </c>
      <c r="O1520" t="n">
        <v>0</v>
      </c>
      <c r="P1520" t="n">
        <v>0</v>
      </c>
      <c r="Q1520" t="n">
        <v>0</v>
      </c>
      <c r="R1520" s="2" t="inlineStr"/>
    </row>
    <row r="1521" ht="15" customHeight="1">
      <c r="A1521" t="inlineStr">
        <is>
          <t>A 10816-2023</t>
        </is>
      </c>
      <c r="B1521" s="1" t="n">
        <v>44990.43501157407</v>
      </c>
      <c r="C1521" s="1" t="n">
        <v>45952</v>
      </c>
      <c r="D1521" t="inlineStr">
        <is>
          <t>ÖREBRO LÄN</t>
        </is>
      </c>
      <c r="E1521" t="inlineStr">
        <is>
          <t>KARLSKOGA</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10822-2023</t>
        </is>
      </c>
      <c r="B1522" s="1" t="n">
        <v>44990</v>
      </c>
      <c r="C1522" s="1" t="n">
        <v>45952</v>
      </c>
      <c r="D1522" t="inlineStr">
        <is>
          <t>ÖREBRO LÄN</t>
        </is>
      </c>
      <c r="E1522" t="inlineStr">
        <is>
          <t>LINDESBERG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6140-2025</t>
        </is>
      </c>
      <c r="B1523" s="1" t="n">
        <v>45698.3849537037</v>
      </c>
      <c r="C1523" s="1" t="n">
        <v>45952</v>
      </c>
      <c r="D1523" t="inlineStr">
        <is>
          <t>ÖREBRO LÄN</t>
        </is>
      </c>
      <c r="E1523" t="inlineStr">
        <is>
          <t>LEKEBERG</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31747-2022</t>
        </is>
      </c>
      <c r="B1524" s="1" t="n">
        <v>44776</v>
      </c>
      <c r="C1524" s="1" t="n">
        <v>45952</v>
      </c>
      <c r="D1524" t="inlineStr">
        <is>
          <t>ÖREBRO LÄN</t>
        </is>
      </c>
      <c r="E1524" t="inlineStr">
        <is>
          <t>HALLSBERG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34478-2022</t>
        </is>
      </c>
      <c r="B1525" s="1" t="n">
        <v>44792.64494212963</v>
      </c>
      <c r="C1525" s="1" t="n">
        <v>45952</v>
      </c>
      <c r="D1525" t="inlineStr">
        <is>
          <t>ÖREBRO LÄN</t>
        </is>
      </c>
      <c r="E1525" t="inlineStr">
        <is>
          <t>HÄLLEFORS</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12063-2024</t>
        </is>
      </c>
      <c r="B1526" s="1" t="n">
        <v>45377.4959837963</v>
      </c>
      <c r="C1526" s="1" t="n">
        <v>45952</v>
      </c>
      <c r="D1526" t="inlineStr">
        <is>
          <t>ÖREBRO LÄN</t>
        </is>
      </c>
      <c r="E1526" t="inlineStr">
        <is>
          <t>LAXÅ</t>
        </is>
      </c>
      <c r="F1526" t="inlineStr">
        <is>
          <t>Sveaskog</t>
        </is>
      </c>
      <c r="G1526" t="n">
        <v>2</v>
      </c>
      <c r="H1526" t="n">
        <v>0</v>
      </c>
      <c r="I1526" t="n">
        <v>0</v>
      </c>
      <c r="J1526" t="n">
        <v>0</v>
      </c>
      <c r="K1526" t="n">
        <v>0</v>
      </c>
      <c r="L1526" t="n">
        <v>0</v>
      </c>
      <c r="M1526" t="n">
        <v>0</v>
      </c>
      <c r="N1526" t="n">
        <v>0</v>
      </c>
      <c r="O1526" t="n">
        <v>0</v>
      </c>
      <c r="P1526" t="n">
        <v>0</v>
      </c>
      <c r="Q1526" t="n">
        <v>0</v>
      </c>
      <c r="R1526" s="2" t="inlineStr"/>
    </row>
    <row r="1527" ht="15" customHeight="1">
      <c r="A1527" t="inlineStr">
        <is>
          <t>A 18610-2021</t>
        </is>
      </c>
      <c r="B1527" s="1" t="n">
        <v>44306.6371412037</v>
      </c>
      <c r="C1527" s="1" t="n">
        <v>45952</v>
      </c>
      <c r="D1527" t="inlineStr">
        <is>
          <t>ÖREBRO LÄN</t>
        </is>
      </c>
      <c r="E1527" t="inlineStr">
        <is>
          <t>LINDESBERG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50405-2024</t>
        </is>
      </c>
      <c r="B1528" s="1" t="n">
        <v>45601.35753472222</v>
      </c>
      <c r="C1528" s="1" t="n">
        <v>45952</v>
      </c>
      <c r="D1528" t="inlineStr">
        <is>
          <t>ÖREBRO LÄN</t>
        </is>
      </c>
      <c r="E1528" t="inlineStr">
        <is>
          <t>LEKEBERG</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34218-2023</t>
        </is>
      </c>
      <c r="B1529" s="1" t="n">
        <v>45126</v>
      </c>
      <c r="C1529" s="1" t="n">
        <v>45952</v>
      </c>
      <c r="D1529" t="inlineStr">
        <is>
          <t>ÖREBRO LÄN</t>
        </is>
      </c>
      <c r="E1529" t="inlineStr">
        <is>
          <t>LAXÅ</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34225-2023</t>
        </is>
      </c>
      <c r="B1530" s="1" t="n">
        <v>45126</v>
      </c>
      <c r="C1530" s="1" t="n">
        <v>45952</v>
      </c>
      <c r="D1530" t="inlineStr">
        <is>
          <t>ÖREBRO LÄN</t>
        </is>
      </c>
      <c r="E1530" t="inlineStr">
        <is>
          <t>LAXÅ</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28112-2022</t>
        </is>
      </c>
      <c r="B1531" s="1" t="n">
        <v>44746.49515046296</v>
      </c>
      <c r="C1531" s="1" t="n">
        <v>45952</v>
      </c>
      <c r="D1531" t="inlineStr">
        <is>
          <t>ÖREBRO LÄN</t>
        </is>
      </c>
      <c r="E1531" t="inlineStr">
        <is>
          <t>LAXÅ</t>
        </is>
      </c>
      <c r="F1531" t="inlineStr">
        <is>
          <t>Sveaskog</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7774-2022</t>
        </is>
      </c>
      <c r="B1532" s="1" t="n">
        <v>44608.45725694444</v>
      </c>
      <c r="C1532" s="1" t="n">
        <v>45952</v>
      </c>
      <c r="D1532" t="inlineStr">
        <is>
          <t>ÖREBRO LÄN</t>
        </is>
      </c>
      <c r="E1532" t="inlineStr">
        <is>
          <t>HÄLLEFORS</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20184-2024</t>
        </is>
      </c>
      <c r="B1533" s="1" t="n">
        <v>45434.62350694444</v>
      </c>
      <c r="C1533" s="1" t="n">
        <v>45952</v>
      </c>
      <c r="D1533" t="inlineStr">
        <is>
          <t>ÖREBRO LÄN</t>
        </is>
      </c>
      <c r="E1533" t="inlineStr">
        <is>
          <t>ASKERSUND</t>
        </is>
      </c>
      <c r="F1533" t="inlineStr">
        <is>
          <t>Sveaskog</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54878-2024</t>
        </is>
      </c>
      <c r="B1534" s="1" t="n">
        <v>45618.60434027778</v>
      </c>
      <c r="C1534" s="1" t="n">
        <v>45952</v>
      </c>
      <c r="D1534" t="inlineStr">
        <is>
          <t>ÖREBRO LÄN</t>
        </is>
      </c>
      <c r="E1534" t="inlineStr">
        <is>
          <t>LAXÅ</t>
        </is>
      </c>
      <c r="F1534" t="inlineStr">
        <is>
          <t>Sveaskog</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3233-2023</t>
        </is>
      </c>
      <c r="B1535" s="1" t="n">
        <v>44946</v>
      </c>
      <c r="C1535" s="1" t="n">
        <v>45952</v>
      </c>
      <c r="D1535" t="inlineStr">
        <is>
          <t>ÖREBRO LÄN</t>
        </is>
      </c>
      <c r="E1535" t="inlineStr">
        <is>
          <t>LINDESBERG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55486-2024</t>
        </is>
      </c>
      <c r="B1536" s="1" t="n">
        <v>45622.44341435185</v>
      </c>
      <c r="C1536" s="1" t="n">
        <v>45952</v>
      </c>
      <c r="D1536" t="inlineStr">
        <is>
          <t>ÖREBRO LÄN</t>
        </is>
      </c>
      <c r="E1536" t="inlineStr">
        <is>
          <t>LAXÅ</t>
        </is>
      </c>
      <c r="F1536" t="inlineStr">
        <is>
          <t>Sveaskog</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26763-2023</t>
        </is>
      </c>
      <c r="B1537" s="1" t="n">
        <v>45093.46813657408</v>
      </c>
      <c r="C1537" s="1" t="n">
        <v>45952</v>
      </c>
      <c r="D1537" t="inlineStr">
        <is>
          <t>ÖREBRO LÄN</t>
        </is>
      </c>
      <c r="E1537" t="inlineStr">
        <is>
          <t>LEKEBERG</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61952-2023</t>
        </is>
      </c>
      <c r="B1538" s="1" t="n">
        <v>45266.56415509259</v>
      </c>
      <c r="C1538" s="1" t="n">
        <v>45952</v>
      </c>
      <c r="D1538" t="inlineStr">
        <is>
          <t>ÖREBRO LÄN</t>
        </is>
      </c>
      <c r="E1538" t="inlineStr">
        <is>
          <t>NORA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26182-2024</t>
        </is>
      </c>
      <c r="B1539" s="1" t="n">
        <v>45468</v>
      </c>
      <c r="C1539" s="1" t="n">
        <v>45952</v>
      </c>
      <c r="D1539" t="inlineStr">
        <is>
          <t>ÖREBRO LÄN</t>
        </is>
      </c>
      <c r="E1539" t="inlineStr">
        <is>
          <t>DEGERFORS</t>
        </is>
      </c>
      <c r="F1539" t="inlineStr">
        <is>
          <t>Sveaskog</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13379-2025</t>
        </is>
      </c>
      <c r="B1540" s="1" t="n">
        <v>45735.67546296296</v>
      </c>
      <c r="C1540" s="1" t="n">
        <v>45952</v>
      </c>
      <c r="D1540" t="inlineStr">
        <is>
          <t>ÖREBRO LÄN</t>
        </is>
      </c>
      <c r="E1540" t="inlineStr">
        <is>
          <t>ASKERSUND</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15325-2024</t>
        </is>
      </c>
      <c r="B1541" s="1" t="n">
        <v>45400.6709837963</v>
      </c>
      <c r="C1541" s="1" t="n">
        <v>45952</v>
      </c>
      <c r="D1541" t="inlineStr">
        <is>
          <t>ÖREBRO LÄN</t>
        </is>
      </c>
      <c r="E1541" t="inlineStr">
        <is>
          <t>LINDESBERG</t>
        </is>
      </c>
      <c r="F1541" t="inlineStr">
        <is>
          <t>Sveaskog</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40970-2023</t>
        </is>
      </c>
      <c r="B1542" s="1" t="n">
        <v>45173</v>
      </c>
      <c r="C1542" s="1" t="n">
        <v>45952</v>
      </c>
      <c r="D1542" t="inlineStr">
        <is>
          <t>ÖREBRO LÄN</t>
        </is>
      </c>
      <c r="E1542" t="inlineStr">
        <is>
          <t>LINDESBERG</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13181-2023</t>
        </is>
      </c>
      <c r="B1543" s="1" t="n">
        <v>45002.60659722222</v>
      </c>
      <c r="C1543" s="1" t="n">
        <v>45952</v>
      </c>
      <c r="D1543" t="inlineStr">
        <is>
          <t>ÖREBRO LÄN</t>
        </is>
      </c>
      <c r="E1543" t="inlineStr">
        <is>
          <t>ÖREBRO</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61078-2024</t>
        </is>
      </c>
      <c r="B1544" s="1" t="n">
        <v>45645.51034722223</v>
      </c>
      <c r="C1544" s="1" t="n">
        <v>45952</v>
      </c>
      <c r="D1544" t="inlineStr">
        <is>
          <t>ÖREBRO LÄN</t>
        </is>
      </c>
      <c r="E1544" t="inlineStr">
        <is>
          <t>ÖREBRO</t>
        </is>
      </c>
      <c r="G1544" t="n">
        <v>4.1</v>
      </c>
      <c r="H1544" t="n">
        <v>0</v>
      </c>
      <c r="I1544" t="n">
        <v>0</v>
      </c>
      <c r="J1544" t="n">
        <v>0</v>
      </c>
      <c r="K1544" t="n">
        <v>0</v>
      </c>
      <c r="L1544" t="n">
        <v>0</v>
      </c>
      <c r="M1544" t="n">
        <v>0</v>
      </c>
      <c r="N1544" t="n">
        <v>0</v>
      </c>
      <c r="O1544" t="n">
        <v>0</v>
      </c>
      <c r="P1544" t="n">
        <v>0</v>
      </c>
      <c r="Q1544" t="n">
        <v>0</v>
      </c>
      <c r="R1544" s="2" t="inlineStr"/>
    </row>
    <row r="1545" ht="15" customHeight="1">
      <c r="A1545" t="inlineStr">
        <is>
          <t>A 40038-2024</t>
        </is>
      </c>
      <c r="B1545" s="1" t="n">
        <v>45553</v>
      </c>
      <c r="C1545" s="1" t="n">
        <v>45952</v>
      </c>
      <c r="D1545" t="inlineStr">
        <is>
          <t>ÖREBRO LÄN</t>
        </is>
      </c>
      <c r="E1545" t="inlineStr">
        <is>
          <t>LINDESBERG</t>
        </is>
      </c>
      <c r="F1545" t="inlineStr">
        <is>
          <t>Sveaskog</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61360-2024</t>
        </is>
      </c>
      <c r="B1546" s="1" t="n">
        <v>45646</v>
      </c>
      <c r="C1546" s="1" t="n">
        <v>45952</v>
      </c>
      <c r="D1546" t="inlineStr">
        <is>
          <t>ÖREBRO LÄN</t>
        </is>
      </c>
      <c r="E1546" t="inlineStr">
        <is>
          <t>LINDESBERG</t>
        </is>
      </c>
      <c r="F1546" t="inlineStr">
        <is>
          <t>Sveaskog</t>
        </is>
      </c>
      <c r="G1546" t="n">
        <v>6.5</v>
      </c>
      <c r="H1546" t="n">
        <v>0</v>
      </c>
      <c r="I1546" t="n">
        <v>0</v>
      </c>
      <c r="J1546" t="n">
        <v>0</v>
      </c>
      <c r="K1546" t="n">
        <v>0</v>
      </c>
      <c r="L1546" t="n">
        <v>0</v>
      </c>
      <c r="M1546" t="n">
        <v>0</v>
      </c>
      <c r="N1546" t="n">
        <v>0</v>
      </c>
      <c r="O1546" t="n">
        <v>0</v>
      </c>
      <c r="P1546" t="n">
        <v>0</v>
      </c>
      <c r="Q1546" t="n">
        <v>0</v>
      </c>
      <c r="R1546" s="2" t="inlineStr"/>
    </row>
    <row r="1547" ht="15" customHeight="1">
      <c r="A1547" t="inlineStr">
        <is>
          <t>A 62511-2023</t>
        </is>
      </c>
      <c r="B1547" s="1" t="n">
        <v>45268.61855324074</v>
      </c>
      <c r="C1547" s="1" t="n">
        <v>45952</v>
      </c>
      <c r="D1547" t="inlineStr">
        <is>
          <t>ÖREBRO LÄN</t>
        </is>
      </c>
      <c r="E1547" t="inlineStr">
        <is>
          <t>ÖREBRO</t>
        </is>
      </c>
      <c r="F1547" t="inlineStr">
        <is>
          <t>Övriga Aktiebolag</t>
        </is>
      </c>
      <c r="G1547" t="n">
        <v>3.6</v>
      </c>
      <c r="H1547" t="n">
        <v>0</v>
      </c>
      <c r="I1547" t="n">
        <v>0</v>
      </c>
      <c r="J1547" t="n">
        <v>0</v>
      </c>
      <c r="K1547" t="n">
        <v>0</v>
      </c>
      <c r="L1547" t="n">
        <v>0</v>
      </c>
      <c r="M1547" t="n">
        <v>0</v>
      </c>
      <c r="N1547" t="n">
        <v>0</v>
      </c>
      <c r="O1547" t="n">
        <v>0</v>
      </c>
      <c r="P1547" t="n">
        <v>0</v>
      </c>
      <c r="Q1547" t="n">
        <v>0</v>
      </c>
      <c r="R1547" s="2" t="inlineStr"/>
    </row>
    <row r="1548" ht="15" customHeight="1">
      <c r="A1548" t="inlineStr">
        <is>
          <t>A 12276-2025</t>
        </is>
      </c>
      <c r="B1548" s="1" t="n">
        <v>45729.65061342593</v>
      </c>
      <c r="C1548" s="1" t="n">
        <v>45952</v>
      </c>
      <c r="D1548" t="inlineStr">
        <is>
          <t>ÖREBRO LÄN</t>
        </is>
      </c>
      <c r="E1548" t="inlineStr">
        <is>
          <t>LINDESBERG</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57497-2023</t>
        </is>
      </c>
      <c r="B1549" s="1" t="n">
        <v>45240</v>
      </c>
      <c r="C1549" s="1" t="n">
        <v>45952</v>
      </c>
      <c r="D1549" t="inlineStr">
        <is>
          <t>ÖREBRO LÄN</t>
        </is>
      </c>
      <c r="E1549" t="inlineStr">
        <is>
          <t>LAXÅ</t>
        </is>
      </c>
      <c r="G1549" t="n">
        <v>8.1</v>
      </c>
      <c r="H1549" t="n">
        <v>0</v>
      </c>
      <c r="I1549" t="n">
        <v>0</v>
      </c>
      <c r="J1549" t="n">
        <v>0</v>
      </c>
      <c r="K1549" t="n">
        <v>0</v>
      </c>
      <c r="L1549" t="n">
        <v>0</v>
      </c>
      <c r="M1549" t="n">
        <v>0</v>
      </c>
      <c r="N1549" t="n">
        <v>0</v>
      </c>
      <c r="O1549" t="n">
        <v>0</v>
      </c>
      <c r="P1549" t="n">
        <v>0</v>
      </c>
      <c r="Q1549" t="n">
        <v>0</v>
      </c>
      <c r="R1549" s="2" t="inlineStr"/>
    </row>
    <row r="1550" ht="15" customHeight="1">
      <c r="A1550" t="inlineStr">
        <is>
          <t>A 57503-2023</t>
        </is>
      </c>
      <c r="B1550" s="1" t="n">
        <v>45240</v>
      </c>
      <c r="C1550" s="1" t="n">
        <v>45952</v>
      </c>
      <c r="D1550" t="inlineStr">
        <is>
          <t>ÖREBRO LÄN</t>
        </is>
      </c>
      <c r="E1550" t="inlineStr">
        <is>
          <t>LAXÅ</t>
        </is>
      </c>
      <c r="G1550" t="n">
        <v>11.5</v>
      </c>
      <c r="H1550" t="n">
        <v>0</v>
      </c>
      <c r="I1550" t="n">
        <v>0</v>
      </c>
      <c r="J1550" t="n">
        <v>0</v>
      </c>
      <c r="K1550" t="n">
        <v>0</v>
      </c>
      <c r="L1550" t="n">
        <v>0</v>
      </c>
      <c r="M1550" t="n">
        <v>0</v>
      </c>
      <c r="N1550" t="n">
        <v>0</v>
      </c>
      <c r="O1550" t="n">
        <v>0</v>
      </c>
      <c r="P1550" t="n">
        <v>0</v>
      </c>
      <c r="Q1550" t="n">
        <v>0</v>
      </c>
      <c r="R1550" s="2" t="inlineStr"/>
    </row>
    <row r="1551" ht="15" customHeight="1">
      <c r="A1551" t="inlineStr">
        <is>
          <t>A 57949-2024</t>
        </is>
      </c>
      <c r="B1551" s="1" t="n">
        <v>45631.55975694444</v>
      </c>
      <c r="C1551" s="1" t="n">
        <v>45952</v>
      </c>
      <c r="D1551" t="inlineStr">
        <is>
          <t>ÖREBRO LÄN</t>
        </is>
      </c>
      <c r="E1551" t="inlineStr">
        <is>
          <t>KUMLA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38534-2025</t>
        </is>
      </c>
      <c r="B1552" s="1" t="n">
        <v>45884</v>
      </c>
      <c r="C1552" s="1" t="n">
        <v>45952</v>
      </c>
      <c r="D1552" t="inlineStr">
        <is>
          <t>ÖREBRO LÄN</t>
        </is>
      </c>
      <c r="E1552" t="inlineStr">
        <is>
          <t>LINDESBERG</t>
        </is>
      </c>
      <c r="G1552" t="n">
        <v>4.9</v>
      </c>
      <c r="H1552" t="n">
        <v>0</v>
      </c>
      <c r="I1552" t="n">
        <v>0</v>
      </c>
      <c r="J1552" t="n">
        <v>0</v>
      </c>
      <c r="K1552" t="n">
        <v>0</v>
      </c>
      <c r="L1552" t="n">
        <v>0</v>
      </c>
      <c r="M1552" t="n">
        <v>0</v>
      </c>
      <c r="N1552" t="n">
        <v>0</v>
      </c>
      <c r="O1552" t="n">
        <v>0</v>
      </c>
      <c r="P1552" t="n">
        <v>0</v>
      </c>
      <c r="Q1552" t="n">
        <v>0</v>
      </c>
      <c r="R1552" s="2" t="inlineStr"/>
    </row>
    <row r="1553" ht="15" customHeight="1">
      <c r="A1553" t="inlineStr">
        <is>
          <t>A 15013-2024</t>
        </is>
      </c>
      <c r="B1553" s="1" t="n">
        <v>45399</v>
      </c>
      <c r="C1553" s="1" t="n">
        <v>45952</v>
      </c>
      <c r="D1553" t="inlineStr">
        <is>
          <t>ÖREBRO LÄN</t>
        </is>
      </c>
      <c r="E1553" t="inlineStr">
        <is>
          <t>HÄLLEFORS</t>
        </is>
      </c>
      <c r="F1553" t="inlineStr">
        <is>
          <t>Bergvik skog väst AB</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61051-2023</t>
        </is>
      </c>
      <c r="B1554" s="1" t="n">
        <v>45261</v>
      </c>
      <c r="C1554" s="1" t="n">
        <v>45952</v>
      </c>
      <c r="D1554" t="inlineStr">
        <is>
          <t>ÖREBRO LÄN</t>
        </is>
      </c>
      <c r="E1554" t="inlineStr">
        <is>
          <t>LAXÅ</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34093-2022</t>
        </is>
      </c>
      <c r="B1555" s="1" t="n">
        <v>44791</v>
      </c>
      <c r="C1555" s="1" t="n">
        <v>45952</v>
      </c>
      <c r="D1555" t="inlineStr">
        <is>
          <t>ÖREBRO LÄN</t>
        </is>
      </c>
      <c r="E1555" t="inlineStr">
        <is>
          <t>LINDESBERG</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46980-2023</t>
        </is>
      </c>
      <c r="B1556" s="1" t="n">
        <v>45201</v>
      </c>
      <c r="C1556" s="1" t="n">
        <v>45952</v>
      </c>
      <c r="D1556" t="inlineStr">
        <is>
          <t>ÖREBRO LÄN</t>
        </is>
      </c>
      <c r="E1556" t="inlineStr">
        <is>
          <t>HÄLLEFORS</t>
        </is>
      </c>
      <c r="F1556" t="inlineStr">
        <is>
          <t>Bergvik skog väst AB</t>
        </is>
      </c>
      <c r="G1556" t="n">
        <v>7.5</v>
      </c>
      <c r="H1556" t="n">
        <v>0</v>
      </c>
      <c r="I1556" t="n">
        <v>0</v>
      </c>
      <c r="J1556" t="n">
        <v>0</v>
      </c>
      <c r="K1556" t="n">
        <v>0</v>
      </c>
      <c r="L1556" t="n">
        <v>0</v>
      </c>
      <c r="M1556" t="n">
        <v>0</v>
      </c>
      <c r="N1556" t="n">
        <v>0</v>
      </c>
      <c r="O1556" t="n">
        <v>0</v>
      </c>
      <c r="P1556" t="n">
        <v>0</v>
      </c>
      <c r="Q1556" t="n">
        <v>0</v>
      </c>
      <c r="R1556" s="2" t="inlineStr"/>
    </row>
    <row r="1557" ht="15" customHeight="1">
      <c r="A1557" t="inlineStr">
        <is>
          <t>A 31921-2022</t>
        </is>
      </c>
      <c r="B1557" s="1" t="n">
        <v>44777</v>
      </c>
      <c r="C1557" s="1" t="n">
        <v>45952</v>
      </c>
      <c r="D1557" t="inlineStr">
        <is>
          <t>ÖREBRO LÄN</t>
        </is>
      </c>
      <c r="E1557" t="inlineStr">
        <is>
          <t>KARLSKOGA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31994-2022</t>
        </is>
      </c>
      <c r="B1558" s="1" t="n">
        <v>44778.31512731482</v>
      </c>
      <c r="C1558" s="1" t="n">
        <v>45952</v>
      </c>
      <c r="D1558" t="inlineStr">
        <is>
          <t>ÖREBRO LÄN</t>
        </is>
      </c>
      <c r="E1558" t="inlineStr">
        <is>
          <t>HALLSBERG</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30100-2024</t>
        </is>
      </c>
      <c r="B1559" s="1" t="n">
        <v>45489.4169212963</v>
      </c>
      <c r="C1559" s="1" t="n">
        <v>45952</v>
      </c>
      <c r="D1559" t="inlineStr">
        <is>
          <t>ÖREBRO LÄN</t>
        </is>
      </c>
      <c r="E1559" t="inlineStr">
        <is>
          <t>ASKERSUND</t>
        </is>
      </c>
      <c r="F1559" t="inlineStr">
        <is>
          <t>Sveaskog</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58662-2022</t>
        </is>
      </c>
      <c r="B1560" s="1" t="n">
        <v>44902</v>
      </c>
      <c r="C1560" s="1" t="n">
        <v>45952</v>
      </c>
      <c r="D1560" t="inlineStr">
        <is>
          <t>ÖREBRO LÄN</t>
        </is>
      </c>
      <c r="E1560" t="inlineStr">
        <is>
          <t>LINDESBERG</t>
        </is>
      </c>
      <c r="F1560" t="inlineStr">
        <is>
          <t>Sveaskog</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1359-2022</t>
        </is>
      </c>
      <c r="B1561" s="1" t="n">
        <v>44573</v>
      </c>
      <c r="C1561" s="1" t="n">
        <v>45952</v>
      </c>
      <c r="D1561" t="inlineStr">
        <is>
          <t>ÖREBRO LÄN</t>
        </is>
      </c>
      <c r="E1561" t="inlineStr">
        <is>
          <t>ASKERSUND</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59349-2023</t>
        </is>
      </c>
      <c r="B1562" s="1" t="n">
        <v>45253.65600694445</v>
      </c>
      <c r="C1562" s="1" t="n">
        <v>45952</v>
      </c>
      <c r="D1562" t="inlineStr">
        <is>
          <t>ÖREBRO LÄN</t>
        </is>
      </c>
      <c r="E1562" t="inlineStr">
        <is>
          <t>ASKERSUND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39095-2022</t>
        </is>
      </c>
      <c r="B1563" s="1" t="n">
        <v>44817</v>
      </c>
      <c r="C1563" s="1" t="n">
        <v>45952</v>
      </c>
      <c r="D1563" t="inlineStr">
        <is>
          <t>ÖREBRO LÄN</t>
        </is>
      </c>
      <c r="E1563" t="inlineStr">
        <is>
          <t>LJUSNARSBERG</t>
        </is>
      </c>
      <c r="F1563" t="inlineStr">
        <is>
          <t>Bergvik skog väst AB</t>
        </is>
      </c>
      <c r="G1563" t="n">
        <v>4.8</v>
      </c>
      <c r="H1563" t="n">
        <v>0</v>
      </c>
      <c r="I1563" t="n">
        <v>0</v>
      </c>
      <c r="J1563" t="n">
        <v>0</v>
      </c>
      <c r="K1563" t="n">
        <v>0</v>
      </c>
      <c r="L1563" t="n">
        <v>0</v>
      </c>
      <c r="M1563" t="n">
        <v>0</v>
      </c>
      <c r="N1563" t="n">
        <v>0</v>
      </c>
      <c r="O1563" t="n">
        <v>0</v>
      </c>
      <c r="P1563" t="n">
        <v>0</v>
      </c>
      <c r="Q1563" t="n">
        <v>0</v>
      </c>
      <c r="R1563" s="2" t="inlineStr"/>
    </row>
    <row r="1564" ht="15" customHeight="1">
      <c r="A1564" t="inlineStr">
        <is>
          <t>A 51344-2023</t>
        </is>
      </c>
      <c r="B1564" s="1" t="n">
        <v>45219.59462962963</v>
      </c>
      <c r="C1564" s="1" t="n">
        <v>45952</v>
      </c>
      <c r="D1564" t="inlineStr">
        <is>
          <t>ÖREBRO LÄN</t>
        </is>
      </c>
      <c r="E1564" t="inlineStr">
        <is>
          <t>KARLSKOGA</t>
        </is>
      </c>
      <c r="F1564" t="inlineStr">
        <is>
          <t>Övriga Aktiebolag</t>
        </is>
      </c>
      <c r="G1564" t="n">
        <v>4.5</v>
      </c>
      <c r="H1564" t="n">
        <v>0</v>
      </c>
      <c r="I1564" t="n">
        <v>0</v>
      </c>
      <c r="J1564" t="n">
        <v>0</v>
      </c>
      <c r="K1564" t="n">
        <v>0</v>
      </c>
      <c r="L1564" t="n">
        <v>0</v>
      </c>
      <c r="M1564" t="n">
        <v>0</v>
      </c>
      <c r="N1564" t="n">
        <v>0</v>
      </c>
      <c r="O1564" t="n">
        <v>0</v>
      </c>
      <c r="P1564" t="n">
        <v>0</v>
      </c>
      <c r="Q1564" t="n">
        <v>0</v>
      </c>
      <c r="R1564" s="2" t="inlineStr"/>
    </row>
    <row r="1565" ht="15" customHeight="1">
      <c r="A1565" t="inlineStr">
        <is>
          <t>A 2283-2023</t>
        </is>
      </c>
      <c r="B1565" s="1" t="n">
        <v>44942</v>
      </c>
      <c r="C1565" s="1" t="n">
        <v>45952</v>
      </c>
      <c r="D1565" t="inlineStr">
        <is>
          <t>ÖREBRO LÄN</t>
        </is>
      </c>
      <c r="E1565" t="inlineStr">
        <is>
          <t>HÄLLEFORS</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15652-2025</t>
        </is>
      </c>
      <c r="B1566" s="1" t="n">
        <v>45748</v>
      </c>
      <c r="C1566" s="1" t="n">
        <v>45952</v>
      </c>
      <c r="D1566" t="inlineStr">
        <is>
          <t>ÖREBRO LÄN</t>
        </is>
      </c>
      <c r="E1566" t="inlineStr">
        <is>
          <t>ÖREBRO</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13888-2024</t>
        </is>
      </c>
      <c r="B1567" s="1" t="n">
        <v>45391</v>
      </c>
      <c r="C1567" s="1" t="n">
        <v>45952</v>
      </c>
      <c r="D1567" t="inlineStr">
        <is>
          <t>ÖREBRO LÄN</t>
        </is>
      </c>
      <c r="E1567" t="inlineStr">
        <is>
          <t>LAXÅ</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7077-2024</t>
        </is>
      </c>
      <c r="B1568" s="1" t="n">
        <v>45343</v>
      </c>
      <c r="C1568" s="1" t="n">
        <v>45952</v>
      </c>
      <c r="D1568" t="inlineStr">
        <is>
          <t>ÖREBRO LÄN</t>
        </is>
      </c>
      <c r="E1568" t="inlineStr">
        <is>
          <t>ASKERSUND</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38549-2024</t>
        </is>
      </c>
      <c r="B1569" s="1" t="n">
        <v>45546.61100694445</v>
      </c>
      <c r="C1569" s="1" t="n">
        <v>45952</v>
      </c>
      <c r="D1569" t="inlineStr">
        <is>
          <t>ÖREBRO LÄN</t>
        </is>
      </c>
      <c r="E1569" t="inlineStr">
        <is>
          <t>LAXÅ</t>
        </is>
      </c>
      <c r="F1569" t="inlineStr">
        <is>
          <t>Sveaskog</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43075-2023</t>
        </is>
      </c>
      <c r="B1570" s="1" t="n">
        <v>45182.83460648148</v>
      </c>
      <c r="C1570" s="1" t="n">
        <v>45952</v>
      </c>
      <c r="D1570" t="inlineStr">
        <is>
          <t>ÖREBRO LÄN</t>
        </is>
      </c>
      <c r="E1570" t="inlineStr">
        <is>
          <t>KARLSKOGA</t>
        </is>
      </c>
      <c r="G1570" t="n">
        <v>3.1</v>
      </c>
      <c r="H1570" t="n">
        <v>0</v>
      </c>
      <c r="I1570" t="n">
        <v>0</v>
      </c>
      <c r="J1570" t="n">
        <v>0</v>
      </c>
      <c r="K1570" t="n">
        <v>0</v>
      </c>
      <c r="L1570" t="n">
        <v>0</v>
      </c>
      <c r="M1570" t="n">
        <v>0</v>
      </c>
      <c r="N1570" t="n">
        <v>0</v>
      </c>
      <c r="O1570" t="n">
        <v>0</v>
      </c>
      <c r="P1570" t="n">
        <v>0</v>
      </c>
      <c r="Q1570" t="n">
        <v>0</v>
      </c>
      <c r="R1570" s="2" t="inlineStr"/>
    </row>
    <row r="1571" ht="15" customHeight="1">
      <c r="A1571" t="inlineStr">
        <is>
          <t>A 34227-2022</t>
        </is>
      </c>
      <c r="B1571" s="1" t="n">
        <v>44791</v>
      </c>
      <c r="C1571" s="1" t="n">
        <v>45952</v>
      </c>
      <c r="D1571" t="inlineStr">
        <is>
          <t>ÖREBRO LÄN</t>
        </is>
      </c>
      <c r="E1571" t="inlineStr">
        <is>
          <t>HALLSBERG</t>
        </is>
      </c>
      <c r="F1571" t="inlineStr">
        <is>
          <t>Övriga Aktiebolag</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34885-2022</t>
        </is>
      </c>
      <c r="B1572" s="1" t="n">
        <v>44796.51725694445</v>
      </c>
      <c r="C1572" s="1" t="n">
        <v>45952</v>
      </c>
      <c r="D1572" t="inlineStr">
        <is>
          <t>ÖREBRO LÄN</t>
        </is>
      </c>
      <c r="E1572" t="inlineStr">
        <is>
          <t>LEKEBERG</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16737-2023</t>
        </is>
      </c>
      <c r="B1573" s="1" t="n">
        <v>45030.72472222222</v>
      </c>
      <c r="C1573" s="1" t="n">
        <v>45952</v>
      </c>
      <c r="D1573" t="inlineStr">
        <is>
          <t>ÖREBRO LÄN</t>
        </is>
      </c>
      <c r="E1573" t="inlineStr">
        <is>
          <t>ÖREBRO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44972-2021</t>
        </is>
      </c>
      <c r="B1574" s="1" t="n">
        <v>44438</v>
      </c>
      <c r="C1574" s="1" t="n">
        <v>45952</v>
      </c>
      <c r="D1574" t="inlineStr">
        <is>
          <t>ÖREBRO LÄN</t>
        </is>
      </c>
      <c r="E1574" t="inlineStr">
        <is>
          <t>ASKERSUND</t>
        </is>
      </c>
      <c r="G1574" t="n">
        <v>6.8</v>
      </c>
      <c r="H1574" t="n">
        <v>0</v>
      </c>
      <c r="I1574" t="n">
        <v>0</v>
      </c>
      <c r="J1574" t="n">
        <v>0</v>
      </c>
      <c r="K1574" t="n">
        <v>0</v>
      </c>
      <c r="L1574" t="n">
        <v>0</v>
      </c>
      <c r="M1574" t="n">
        <v>0</v>
      </c>
      <c r="N1574" t="n">
        <v>0</v>
      </c>
      <c r="O1574" t="n">
        <v>0</v>
      </c>
      <c r="P1574" t="n">
        <v>0</v>
      </c>
      <c r="Q1574" t="n">
        <v>0</v>
      </c>
      <c r="R1574" s="2" t="inlineStr"/>
    </row>
    <row r="1575" ht="15" customHeight="1">
      <c r="A1575" t="inlineStr">
        <is>
          <t>A 56042-2020</t>
        </is>
      </c>
      <c r="B1575" s="1" t="n">
        <v>44133</v>
      </c>
      <c r="C1575" s="1" t="n">
        <v>45952</v>
      </c>
      <c r="D1575" t="inlineStr">
        <is>
          <t>ÖREBRO LÄN</t>
        </is>
      </c>
      <c r="E1575" t="inlineStr">
        <is>
          <t>LAXÅ</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43886-2024</t>
        </is>
      </c>
      <c r="B1576" s="1" t="n">
        <v>45572.40844907407</v>
      </c>
      <c r="C1576" s="1" t="n">
        <v>45952</v>
      </c>
      <c r="D1576" t="inlineStr">
        <is>
          <t>ÖREBRO LÄN</t>
        </is>
      </c>
      <c r="E1576" t="inlineStr">
        <is>
          <t>HÄLLEFORS</t>
        </is>
      </c>
      <c r="F1576" t="inlineStr">
        <is>
          <t>Bergvik skog väst AB</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36484-2022</t>
        </is>
      </c>
      <c r="B1577" s="1" t="n">
        <v>44804.44864583333</v>
      </c>
      <c r="C1577" s="1" t="n">
        <v>45952</v>
      </c>
      <c r="D1577" t="inlineStr">
        <is>
          <t>ÖREBRO LÄN</t>
        </is>
      </c>
      <c r="E1577" t="inlineStr">
        <is>
          <t>ASKERSUND</t>
        </is>
      </c>
      <c r="G1577" t="n">
        <v>4.3</v>
      </c>
      <c r="H1577" t="n">
        <v>0</v>
      </c>
      <c r="I1577" t="n">
        <v>0</v>
      </c>
      <c r="J1577" t="n">
        <v>0</v>
      </c>
      <c r="K1577" t="n">
        <v>0</v>
      </c>
      <c r="L1577" t="n">
        <v>0</v>
      </c>
      <c r="M1577" t="n">
        <v>0</v>
      </c>
      <c r="N1577" t="n">
        <v>0</v>
      </c>
      <c r="O1577" t="n">
        <v>0</v>
      </c>
      <c r="P1577" t="n">
        <v>0</v>
      </c>
      <c r="Q1577" t="n">
        <v>0</v>
      </c>
      <c r="R1577" s="2" t="inlineStr"/>
    </row>
    <row r="1578" ht="15" customHeight="1">
      <c r="A1578" t="inlineStr">
        <is>
          <t>A 64089-2023</t>
        </is>
      </c>
      <c r="B1578" s="1" t="n">
        <v>45279</v>
      </c>
      <c r="C1578" s="1" t="n">
        <v>45952</v>
      </c>
      <c r="D1578" t="inlineStr">
        <is>
          <t>ÖREBRO LÄN</t>
        </is>
      </c>
      <c r="E1578" t="inlineStr">
        <is>
          <t>NORA</t>
        </is>
      </c>
      <c r="F1578" t="inlineStr">
        <is>
          <t>Sveaskog</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62594-2023</t>
        </is>
      </c>
      <c r="B1579" s="1" t="n">
        <v>45271.2524537037</v>
      </c>
      <c r="C1579" s="1" t="n">
        <v>45952</v>
      </c>
      <c r="D1579" t="inlineStr">
        <is>
          <t>ÖREBRO LÄN</t>
        </is>
      </c>
      <c r="E1579" t="inlineStr">
        <is>
          <t>LAXÅ</t>
        </is>
      </c>
      <c r="G1579" t="n">
        <v>3.3</v>
      </c>
      <c r="H1579" t="n">
        <v>0</v>
      </c>
      <c r="I1579" t="n">
        <v>0</v>
      </c>
      <c r="J1579" t="n">
        <v>0</v>
      </c>
      <c r="K1579" t="n">
        <v>0</v>
      </c>
      <c r="L1579" t="n">
        <v>0</v>
      </c>
      <c r="M1579" t="n">
        <v>0</v>
      </c>
      <c r="N1579" t="n">
        <v>0</v>
      </c>
      <c r="O1579" t="n">
        <v>0</v>
      </c>
      <c r="P1579" t="n">
        <v>0</v>
      </c>
      <c r="Q1579" t="n">
        <v>0</v>
      </c>
      <c r="R1579" s="2" t="inlineStr"/>
    </row>
    <row r="1580" ht="15" customHeight="1">
      <c r="A1580" t="inlineStr">
        <is>
          <t>A 23102-2023</t>
        </is>
      </c>
      <c r="B1580" s="1" t="n">
        <v>45075.44152777778</v>
      </c>
      <c r="C1580" s="1" t="n">
        <v>45952</v>
      </c>
      <c r="D1580" t="inlineStr">
        <is>
          <t>ÖREBRO LÄN</t>
        </is>
      </c>
      <c r="E1580" t="inlineStr">
        <is>
          <t>LINDESBERG</t>
        </is>
      </c>
      <c r="F1580" t="inlineStr">
        <is>
          <t>Sveaskog</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14028-2023</t>
        </is>
      </c>
      <c r="B1581" s="1" t="n">
        <v>45008</v>
      </c>
      <c r="C1581" s="1" t="n">
        <v>45952</v>
      </c>
      <c r="D1581" t="inlineStr">
        <is>
          <t>ÖREBRO LÄN</t>
        </is>
      </c>
      <c r="E1581" t="inlineStr">
        <is>
          <t>LINDESBERG</t>
        </is>
      </c>
      <c r="F1581" t="inlineStr">
        <is>
          <t>Kyrkan</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62439-2021</t>
        </is>
      </c>
      <c r="B1582" s="1" t="n">
        <v>44503.50170138889</v>
      </c>
      <c r="C1582" s="1" t="n">
        <v>45952</v>
      </c>
      <c r="D1582" t="inlineStr">
        <is>
          <t>ÖREBRO LÄN</t>
        </is>
      </c>
      <c r="E1582" t="inlineStr">
        <is>
          <t>LAXÅ</t>
        </is>
      </c>
      <c r="F1582" t="inlineStr">
        <is>
          <t>Sveaskog</t>
        </is>
      </c>
      <c r="G1582" t="n">
        <v>2.8</v>
      </c>
      <c r="H1582" t="n">
        <v>0</v>
      </c>
      <c r="I1582" t="n">
        <v>0</v>
      </c>
      <c r="J1582" t="n">
        <v>0</v>
      </c>
      <c r="K1582" t="n">
        <v>0</v>
      </c>
      <c r="L1582" t="n">
        <v>0</v>
      </c>
      <c r="M1582" t="n">
        <v>0</v>
      </c>
      <c r="N1582" t="n">
        <v>0</v>
      </c>
      <c r="O1582" t="n">
        <v>0</v>
      </c>
      <c r="P1582" t="n">
        <v>0</v>
      </c>
      <c r="Q1582" t="n">
        <v>0</v>
      </c>
      <c r="R1582" s="2" t="inlineStr"/>
    </row>
    <row r="1583" ht="15" customHeight="1">
      <c r="A1583" t="inlineStr">
        <is>
          <t>A 2414-2024</t>
        </is>
      </c>
      <c r="B1583" s="1" t="n">
        <v>45310.87931712963</v>
      </c>
      <c r="C1583" s="1" t="n">
        <v>45952</v>
      </c>
      <c r="D1583" t="inlineStr">
        <is>
          <t>ÖREBRO LÄN</t>
        </is>
      </c>
      <c r="E1583" t="inlineStr">
        <is>
          <t>LINDESBERG</t>
        </is>
      </c>
      <c r="G1583" t="n">
        <v>7.2</v>
      </c>
      <c r="H1583" t="n">
        <v>0</v>
      </c>
      <c r="I1583" t="n">
        <v>0</v>
      </c>
      <c r="J1583" t="n">
        <v>0</v>
      </c>
      <c r="K1583" t="n">
        <v>0</v>
      </c>
      <c r="L1583" t="n">
        <v>0</v>
      </c>
      <c r="M1583" t="n">
        <v>0</v>
      </c>
      <c r="N1583" t="n">
        <v>0</v>
      </c>
      <c r="O1583" t="n">
        <v>0</v>
      </c>
      <c r="P1583" t="n">
        <v>0</v>
      </c>
      <c r="Q1583" t="n">
        <v>0</v>
      </c>
      <c r="R1583" s="2" t="inlineStr"/>
    </row>
    <row r="1584" ht="15" customHeight="1">
      <c r="A1584" t="inlineStr">
        <is>
          <t>A 16739-2023</t>
        </is>
      </c>
      <c r="B1584" s="1" t="n">
        <v>45030.72627314815</v>
      </c>
      <c r="C1584" s="1" t="n">
        <v>45952</v>
      </c>
      <c r="D1584" t="inlineStr">
        <is>
          <t>ÖREBRO LÄN</t>
        </is>
      </c>
      <c r="E1584" t="inlineStr">
        <is>
          <t>ÖREBRO</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45229-2023</t>
        </is>
      </c>
      <c r="B1585" s="1" t="n">
        <v>45191</v>
      </c>
      <c r="C1585" s="1" t="n">
        <v>45952</v>
      </c>
      <c r="D1585" t="inlineStr">
        <is>
          <t>ÖREBRO LÄN</t>
        </is>
      </c>
      <c r="E1585" t="inlineStr">
        <is>
          <t>NORA</t>
        </is>
      </c>
      <c r="G1585" t="n">
        <v>5.2</v>
      </c>
      <c r="H1585" t="n">
        <v>0</v>
      </c>
      <c r="I1585" t="n">
        <v>0</v>
      </c>
      <c r="J1585" t="n">
        <v>0</v>
      </c>
      <c r="K1585" t="n">
        <v>0</v>
      </c>
      <c r="L1585" t="n">
        <v>0</v>
      </c>
      <c r="M1585" t="n">
        <v>0</v>
      </c>
      <c r="N1585" t="n">
        <v>0</v>
      </c>
      <c r="O1585" t="n">
        <v>0</v>
      </c>
      <c r="P1585" t="n">
        <v>0</v>
      </c>
      <c r="Q1585" t="n">
        <v>0</v>
      </c>
      <c r="R1585" s="2" t="inlineStr"/>
    </row>
    <row r="1586" ht="15" customHeight="1">
      <c r="A1586" t="inlineStr">
        <is>
          <t>A 5762-2025</t>
        </is>
      </c>
      <c r="B1586" s="1" t="n">
        <v>45694.57181712963</v>
      </c>
      <c r="C1586" s="1" t="n">
        <v>45952</v>
      </c>
      <c r="D1586" t="inlineStr">
        <is>
          <t>ÖREBRO LÄN</t>
        </is>
      </c>
      <c r="E1586" t="inlineStr">
        <is>
          <t>ÖREBRO</t>
        </is>
      </c>
      <c r="F1586" t="inlineStr">
        <is>
          <t>Övriga Aktiebolag</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51180-2023</t>
        </is>
      </c>
      <c r="B1587" s="1" t="n">
        <v>45219</v>
      </c>
      <c r="C1587" s="1" t="n">
        <v>45952</v>
      </c>
      <c r="D1587" t="inlineStr">
        <is>
          <t>ÖREBRO LÄN</t>
        </is>
      </c>
      <c r="E1587" t="inlineStr">
        <is>
          <t>ÖREBRO</t>
        </is>
      </c>
      <c r="G1587" t="n">
        <v>6.5</v>
      </c>
      <c r="H1587" t="n">
        <v>0</v>
      </c>
      <c r="I1587" t="n">
        <v>0</v>
      </c>
      <c r="J1587" t="n">
        <v>0</v>
      </c>
      <c r="K1587" t="n">
        <v>0</v>
      </c>
      <c r="L1587" t="n">
        <v>0</v>
      </c>
      <c r="M1587" t="n">
        <v>0</v>
      </c>
      <c r="N1587" t="n">
        <v>0</v>
      </c>
      <c r="O1587" t="n">
        <v>0</v>
      </c>
      <c r="P1587" t="n">
        <v>0</v>
      </c>
      <c r="Q1587" t="n">
        <v>0</v>
      </c>
      <c r="R1587" s="2" t="inlineStr"/>
    </row>
    <row r="1588" ht="15" customHeight="1">
      <c r="A1588" t="inlineStr">
        <is>
          <t>A 58621-2024</t>
        </is>
      </c>
      <c r="B1588" s="1" t="n">
        <v>45635.56321759259</v>
      </c>
      <c r="C1588" s="1" t="n">
        <v>45952</v>
      </c>
      <c r="D1588" t="inlineStr">
        <is>
          <t>ÖREBRO LÄN</t>
        </is>
      </c>
      <c r="E1588" t="inlineStr">
        <is>
          <t>ÖREBRO</t>
        </is>
      </c>
      <c r="F1588" t="inlineStr">
        <is>
          <t>Sveaskog</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31024-2023</t>
        </is>
      </c>
      <c r="B1589" s="1" t="n">
        <v>45113</v>
      </c>
      <c r="C1589" s="1" t="n">
        <v>45952</v>
      </c>
      <c r="D1589" t="inlineStr">
        <is>
          <t>ÖREBRO LÄN</t>
        </is>
      </c>
      <c r="E1589" t="inlineStr">
        <is>
          <t>LINDESBERG</t>
        </is>
      </c>
      <c r="G1589" t="n">
        <v>5.1</v>
      </c>
      <c r="H1589" t="n">
        <v>0</v>
      </c>
      <c r="I1589" t="n">
        <v>0</v>
      </c>
      <c r="J1589" t="n">
        <v>0</v>
      </c>
      <c r="K1589" t="n">
        <v>0</v>
      </c>
      <c r="L1589" t="n">
        <v>0</v>
      </c>
      <c r="M1589" t="n">
        <v>0</v>
      </c>
      <c r="N1589" t="n">
        <v>0</v>
      </c>
      <c r="O1589" t="n">
        <v>0</v>
      </c>
      <c r="P1589" t="n">
        <v>0</v>
      </c>
      <c r="Q1589" t="n">
        <v>0</v>
      </c>
      <c r="R1589" s="2" t="inlineStr"/>
    </row>
    <row r="1590" ht="15" customHeight="1">
      <c r="A1590" t="inlineStr">
        <is>
          <t>A 26023-2023</t>
        </is>
      </c>
      <c r="B1590" s="1" t="n">
        <v>45091.2925</v>
      </c>
      <c r="C1590" s="1" t="n">
        <v>45952</v>
      </c>
      <c r="D1590" t="inlineStr">
        <is>
          <t>ÖREBRO LÄN</t>
        </is>
      </c>
      <c r="E1590" t="inlineStr">
        <is>
          <t>NORA</t>
        </is>
      </c>
      <c r="F1590" t="inlineStr">
        <is>
          <t>Kyrkan</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40887-2023</t>
        </is>
      </c>
      <c r="B1591" s="1" t="n">
        <v>45173</v>
      </c>
      <c r="C1591" s="1" t="n">
        <v>45952</v>
      </c>
      <c r="D1591" t="inlineStr">
        <is>
          <t>ÖREBRO LÄN</t>
        </is>
      </c>
      <c r="E1591" t="inlineStr">
        <is>
          <t>HALLSBERG</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43679-2022</t>
        </is>
      </c>
      <c r="B1592" s="1" t="n">
        <v>44837</v>
      </c>
      <c r="C1592" s="1" t="n">
        <v>45952</v>
      </c>
      <c r="D1592" t="inlineStr">
        <is>
          <t>ÖREBRO LÄN</t>
        </is>
      </c>
      <c r="E1592" t="inlineStr">
        <is>
          <t>HALLSBERG</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12148-2025</t>
        </is>
      </c>
      <c r="B1593" s="1" t="n">
        <v>45729</v>
      </c>
      <c r="C1593" s="1" t="n">
        <v>45952</v>
      </c>
      <c r="D1593" t="inlineStr">
        <is>
          <t>ÖREBRO LÄN</t>
        </is>
      </c>
      <c r="E1593" t="inlineStr">
        <is>
          <t>DEGERFORS</t>
        </is>
      </c>
      <c r="F1593" t="inlineStr">
        <is>
          <t>Sveaskog</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47196-2023</t>
        </is>
      </c>
      <c r="B1594" s="1" t="n">
        <v>45196</v>
      </c>
      <c r="C1594" s="1" t="n">
        <v>45952</v>
      </c>
      <c r="D1594" t="inlineStr">
        <is>
          <t>ÖREBRO LÄN</t>
        </is>
      </c>
      <c r="E1594" t="inlineStr">
        <is>
          <t>KARLSKOGA</t>
        </is>
      </c>
      <c r="G1594" t="n">
        <v>5.9</v>
      </c>
      <c r="H1594" t="n">
        <v>0</v>
      </c>
      <c r="I1594" t="n">
        <v>0</v>
      </c>
      <c r="J1594" t="n">
        <v>0</v>
      </c>
      <c r="K1594" t="n">
        <v>0</v>
      </c>
      <c r="L1594" t="n">
        <v>0</v>
      </c>
      <c r="M1594" t="n">
        <v>0</v>
      </c>
      <c r="N1594" t="n">
        <v>0</v>
      </c>
      <c r="O1594" t="n">
        <v>0</v>
      </c>
      <c r="P1594" t="n">
        <v>0</v>
      </c>
      <c r="Q1594" t="n">
        <v>0</v>
      </c>
      <c r="R1594" s="2" t="inlineStr"/>
    </row>
    <row r="1595" ht="15" customHeight="1">
      <c r="A1595" t="inlineStr">
        <is>
          <t>A 1490-2024</t>
        </is>
      </c>
      <c r="B1595" s="1" t="n">
        <v>45305</v>
      </c>
      <c r="C1595" s="1" t="n">
        <v>45952</v>
      </c>
      <c r="D1595" t="inlineStr">
        <is>
          <t>ÖREBRO LÄN</t>
        </is>
      </c>
      <c r="E1595" t="inlineStr">
        <is>
          <t>LINDESBERG</t>
        </is>
      </c>
      <c r="G1595" t="n">
        <v>17.6</v>
      </c>
      <c r="H1595" t="n">
        <v>0</v>
      </c>
      <c r="I1595" t="n">
        <v>0</v>
      </c>
      <c r="J1595" t="n">
        <v>0</v>
      </c>
      <c r="K1595" t="n">
        <v>0</v>
      </c>
      <c r="L1595" t="n">
        <v>0</v>
      </c>
      <c r="M1595" t="n">
        <v>0</v>
      </c>
      <c r="N1595" t="n">
        <v>0</v>
      </c>
      <c r="O1595" t="n">
        <v>0</v>
      </c>
      <c r="P1595" t="n">
        <v>0</v>
      </c>
      <c r="Q1595" t="n">
        <v>0</v>
      </c>
      <c r="R1595" s="2" t="inlineStr"/>
    </row>
    <row r="1596" ht="15" customHeight="1">
      <c r="A1596" t="inlineStr">
        <is>
          <t>A 15060-2024</t>
        </is>
      </c>
      <c r="B1596" s="1" t="n">
        <v>45399.56596064815</v>
      </c>
      <c r="C1596" s="1" t="n">
        <v>45952</v>
      </c>
      <c r="D1596" t="inlineStr">
        <is>
          <t>ÖREBRO LÄN</t>
        </is>
      </c>
      <c r="E1596" t="inlineStr">
        <is>
          <t>LINDESBERG</t>
        </is>
      </c>
      <c r="F1596" t="inlineStr">
        <is>
          <t>Sveaskog</t>
        </is>
      </c>
      <c r="G1596" t="n">
        <v>3.8</v>
      </c>
      <c r="H1596" t="n">
        <v>0</v>
      </c>
      <c r="I1596" t="n">
        <v>0</v>
      </c>
      <c r="J1596" t="n">
        <v>0</v>
      </c>
      <c r="K1596" t="n">
        <v>0</v>
      </c>
      <c r="L1596" t="n">
        <v>0</v>
      </c>
      <c r="M1596" t="n">
        <v>0</v>
      </c>
      <c r="N1596" t="n">
        <v>0</v>
      </c>
      <c r="O1596" t="n">
        <v>0</v>
      </c>
      <c r="P1596" t="n">
        <v>0</v>
      </c>
      <c r="Q1596" t="n">
        <v>0</v>
      </c>
      <c r="R1596" s="2" t="inlineStr"/>
    </row>
    <row r="1597" ht="15" customHeight="1">
      <c r="A1597" t="inlineStr">
        <is>
          <t>A 4474-2024</t>
        </is>
      </c>
      <c r="B1597" s="1" t="n">
        <v>45327</v>
      </c>
      <c r="C1597" s="1" t="n">
        <v>45952</v>
      </c>
      <c r="D1597" t="inlineStr">
        <is>
          <t>ÖREBRO LÄN</t>
        </is>
      </c>
      <c r="E1597" t="inlineStr">
        <is>
          <t>ASKERSUND</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60523-2024</t>
        </is>
      </c>
      <c r="B1598" s="1" t="n">
        <v>45643.69060185185</v>
      </c>
      <c r="C1598" s="1" t="n">
        <v>45952</v>
      </c>
      <c r="D1598" t="inlineStr">
        <is>
          <t>ÖREBRO LÄN</t>
        </is>
      </c>
      <c r="E1598" t="inlineStr">
        <is>
          <t>HÄLLEFORS</t>
        </is>
      </c>
      <c r="F1598" t="inlineStr">
        <is>
          <t>Bergvik skog väst AB</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11925-2025</t>
        </is>
      </c>
      <c r="B1599" s="1" t="n">
        <v>45728.50564814815</v>
      </c>
      <c r="C1599" s="1" t="n">
        <v>45952</v>
      </c>
      <c r="D1599" t="inlineStr">
        <is>
          <t>ÖREBRO LÄN</t>
        </is>
      </c>
      <c r="E1599" t="inlineStr">
        <is>
          <t>HALLSBERG</t>
        </is>
      </c>
      <c r="F1599" t="inlineStr">
        <is>
          <t>Allmännings- och besparingsskogar</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55207-2021</t>
        </is>
      </c>
      <c r="B1600" s="1" t="n">
        <v>44475.36864583333</v>
      </c>
      <c r="C1600" s="1" t="n">
        <v>45952</v>
      </c>
      <c r="D1600" t="inlineStr">
        <is>
          <t>ÖREBRO LÄN</t>
        </is>
      </c>
      <c r="E1600" t="inlineStr">
        <is>
          <t>LAXÅ</t>
        </is>
      </c>
      <c r="F1600" t="inlineStr">
        <is>
          <t>Sveaskog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55453-2023</t>
        </is>
      </c>
      <c r="B1601" s="1" t="n">
        <v>45238</v>
      </c>
      <c r="C1601" s="1" t="n">
        <v>45952</v>
      </c>
      <c r="D1601" t="inlineStr">
        <is>
          <t>ÖREBRO LÄN</t>
        </is>
      </c>
      <c r="E1601" t="inlineStr">
        <is>
          <t>HÄLLEFORS</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38626-2023</t>
        </is>
      </c>
      <c r="B1602" s="1" t="n">
        <v>45162</v>
      </c>
      <c r="C1602" s="1" t="n">
        <v>45952</v>
      </c>
      <c r="D1602" t="inlineStr">
        <is>
          <t>ÖREBRO LÄN</t>
        </is>
      </c>
      <c r="E1602" t="inlineStr">
        <is>
          <t>ASKERSUND</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10079-2024</t>
        </is>
      </c>
      <c r="B1603" s="1" t="n">
        <v>45364.42604166667</v>
      </c>
      <c r="C1603" s="1" t="n">
        <v>45952</v>
      </c>
      <c r="D1603" t="inlineStr">
        <is>
          <t>ÖREBRO LÄN</t>
        </is>
      </c>
      <c r="E1603" t="inlineStr">
        <is>
          <t>NORA</t>
        </is>
      </c>
      <c r="F1603" t="inlineStr">
        <is>
          <t>Sveaskog</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12133-2023</t>
        </is>
      </c>
      <c r="B1604" s="1" t="n">
        <v>44998</v>
      </c>
      <c r="C1604" s="1" t="n">
        <v>45952</v>
      </c>
      <c r="D1604" t="inlineStr">
        <is>
          <t>ÖREBRO LÄN</t>
        </is>
      </c>
      <c r="E1604" t="inlineStr">
        <is>
          <t>HALLSBERG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12140-2023</t>
        </is>
      </c>
      <c r="B1605" s="1" t="n">
        <v>44998.46677083334</v>
      </c>
      <c r="C1605" s="1" t="n">
        <v>45952</v>
      </c>
      <c r="D1605" t="inlineStr">
        <is>
          <t>ÖREBRO LÄN</t>
        </is>
      </c>
      <c r="E1605" t="inlineStr">
        <is>
          <t>LEKEBERG</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5578-2024</t>
        </is>
      </c>
      <c r="B1606" s="1" t="n">
        <v>45334.49104166667</v>
      </c>
      <c r="C1606" s="1" t="n">
        <v>45952</v>
      </c>
      <c r="D1606" t="inlineStr">
        <is>
          <t>ÖREBRO LÄN</t>
        </is>
      </c>
      <c r="E1606" t="inlineStr">
        <is>
          <t>ÖREBRO</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13454-2022</t>
        </is>
      </c>
      <c r="B1607" s="1" t="n">
        <v>44645</v>
      </c>
      <c r="C1607" s="1" t="n">
        <v>45952</v>
      </c>
      <c r="D1607" t="inlineStr">
        <is>
          <t>ÖREBRO LÄN</t>
        </is>
      </c>
      <c r="E1607" t="inlineStr">
        <is>
          <t>KARLSKOGA</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45339-2022</t>
        </is>
      </c>
      <c r="B1608" s="1" t="n">
        <v>44844</v>
      </c>
      <c r="C1608" s="1" t="n">
        <v>45952</v>
      </c>
      <c r="D1608" t="inlineStr">
        <is>
          <t>ÖREBRO LÄN</t>
        </is>
      </c>
      <c r="E1608" t="inlineStr">
        <is>
          <t>ASKERSUND</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58541-2020</t>
        </is>
      </c>
      <c r="B1609" s="1" t="n">
        <v>44145</v>
      </c>
      <c r="C1609" s="1" t="n">
        <v>45952</v>
      </c>
      <c r="D1609" t="inlineStr">
        <is>
          <t>ÖREBRO LÄN</t>
        </is>
      </c>
      <c r="E1609" t="inlineStr">
        <is>
          <t>ASKERSUND</t>
        </is>
      </c>
      <c r="G1609" t="n">
        <v>3.8</v>
      </c>
      <c r="H1609" t="n">
        <v>0</v>
      </c>
      <c r="I1609" t="n">
        <v>0</v>
      </c>
      <c r="J1609" t="n">
        <v>0</v>
      </c>
      <c r="K1609" t="n">
        <v>0</v>
      </c>
      <c r="L1609" t="n">
        <v>0</v>
      </c>
      <c r="M1609" t="n">
        <v>0</v>
      </c>
      <c r="N1609" t="n">
        <v>0</v>
      </c>
      <c r="O1609" t="n">
        <v>0</v>
      </c>
      <c r="P1609" t="n">
        <v>0</v>
      </c>
      <c r="Q1609" t="n">
        <v>0</v>
      </c>
      <c r="R1609" s="2" t="inlineStr"/>
    </row>
    <row r="1610" ht="15" customHeight="1">
      <c r="A1610" t="inlineStr">
        <is>
          <t>A 14454-2025</t>
        </is>
      </c>
      <c r="B1610" s="1" t="n">
        <v>45741.56476851852</v>
      </c>
      <c r="C1610" s="1" t="n">
        <v>45952</v>
      </c>
      <c r="D1610" t="inlineStr">
        <is>
          <t>ÖREBRO LÄN</t>
        </is>
      </c>
      <c r="E1610" t="inlineStr">
        <is>
          <t>LAXÅ</t>
        </is>
      </c>
      <c r="F1610" t="inlineStr">
        <is>
          <t>Sveaskog</t>
        </is>
      </c>
      <c r="G1610" t="n">
        <v>4.9</v>
      </c>
      <c r="H1610" t="n">
        <v>0</v>
      </c>
      <c r="I1610" t="n">
        <v>0</v>
      </c>
      <c r="J1610" t="n">
        <v>0</v>
      </c>
      <c r="K1610" t="n">
        <v>0</v>
      </c>
      <c r="L1610" t="n">
        <v>0</v>
      </c>
      <c r="M1610" t="n">
        <v>0</v>
      </c>
      <c r="N1610" t="n">
        <v>0</v>
      </c>
      <c r="O1610" t="n">
        <v>0</v>
      </c>
      <c r="P1610" t="n">
        <v>0</v>
      </c>
      <c r="Q1610" t="n">
        <v>0</v>
      </c>
      <c r="R1610" s="2" t="inlineStr"/>
    </row>
    <row r="1611" ht="15" customHeight="1">
      <c r="A1611" t="inlineStr">
        <is>
          <t>A 14457-2025</t>
        </is>
      </c>
      <c r="B1611" s="1" t="n">
        <v>45741.56659722222</v>
      </c>
      <c r="C1611" s="1" t="n">
        <v>45952</v>
      </c>
      <c r="D1611" t="inlineStr">
        <is>
          <t>ÖREBRO LÄN</t>
        </is>
      </c>
      <c r="E1611" t="inlineStr">
        <is>
          <t>LAXÅ</t>
        </is>
      </c>
      <c r="F1611" t="inlineStr">
        <is>
          <t>Sveaskog</t>
        </is>
      </c>
      <c r="G1611" t="n">
        <v>8.699999999999999</v>
      </c>
      <c r="H1611" t="n">
        <v>0</v>
      </c>
      <c r="I1611" t="n">
        <v>0</v>
      </c>
      <c r="J1611" t="n">
        <v>0</v>
      </c>
      <c r="K1611" t="n">
        <v>0</v>
      </c>
      <c r="L1611" t="n">
        <v>0</v>
      </c>
      <c r="M1611" t="n">
        <v>0</v>
      </c>
      <c r="N1611" t="n">
        <v>0</v>
      </c>
      <c r="O1611" t="n">
        <v>0</v>
      </c>
      <c r="P1611" t="n">
        <v>0</v>
      </c>
      <c r="Q1611" t="n">
        <v>0</v>
      </c>
      <c r="R1611" s="2" t="inlineStr"/>
    </row>
    <row r="1612" ht="15" customHeight="1">
      <c r="A1612" t="inlineStr">
        <is>
          <t>A 31189-2024</t>
        </is>
      </c>
      <c r="B1612" s="1" t="n">
        <v>45503</v>
      </c>
      <c r="C1612" s="1" t="n">
        <v>45952</v>
      </c>
      <c r="D1612" t="inlineStr">
        <is>
          <t>ÖREBRO LÄN</t>
        </is>
      </c>
      <c r="E1612" t="inlineStr">
        <is>
          <t>LAXÅ</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31190-2024</t>
        </is>
      </c>
      <c r="B1613" s="1" t="n">
        <v>45503</v>
      </c>
      <c r="C1613" s="1" t="n">
        <v>45952</v>
      </c>
      <c r="D1613" t="inlineStr">
        <is>
          <t>ÖREBRO LÄN</t>
        </is>
      </c>
      <c r="E1613" t="inlineStr">
        <is>
          <t>LAXÅ</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28031-2023</t>
        </is>
      </c>
      <c r="B1614" s="1" t="n">
        <v>45099.27354166667</v>
      </c>
      <c r="C1614" s="1" t="n">
        <v>45952</v>
      </c>
      <c r="D1614" t="inlineStr">
        <is>
          <t>ÖREBRO LÄN</t>
        </is>
      </c>
      <c r="E1614" t="inlineStr">
        <is>
          <t>LINDESBERG</t>
        </is>
      </c>
      <c r="F1614" t="inlineStr">
        <is>
          <t>Kyrkan</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40607-2021</t>
        </is>
      </c>
      <c r="B1615" s="1" t="n">
        <v>44420</v>
      </c>
      <c r="C1615" s="1" t="n">
        <v>45952</v>
      </c>
      <c r="D1615" t="inlineStr">
        <is>
          <t>ÖREBRO LÄN</t>
        </is>
      </c>
      <c r="E1615" t="inlineStr">
        <is>
          <t>HALLSBERG</t>
        </is>
      </c>
      <c r="G1615" t="n">
        <v>3.7</v>
      </c>
      <c r="H1615" t="n">
        <v>0</v>
      </c>
      <c r="I1615" t="n">
        <v>0</v>
      </c>
      <c r="J1615" t="n">
        <v>0</v>
      </c>
      <c r="K1615" t="n">
        <v>0</v>
      </c>
      <c r="L1615" t="n">
        <v>0</v>
      </c>
      <c r="M1615" t="n">
        <v>0</v>
      </c>
      <c r="N1615" t="n">
        <v>0</v>
      </c>
      <c r="O1615" t="n">
        <v>0</v>
      </c>
      <c r="P1615" t="n">
        <v>0</v>
      </c>
      <c r="Q1615" t="n">
        <v>0</v>
      </c>
      <c r="R1615" s="2" t="inlineStr"/>
    </row>
    <row r="1616" ht="15" customHeight="1">
      <c r="A1616" t="inlineStr">
        <is>
          <t>A 22323-2023</t>
        </is>
      </c>
      <c r="B1616" s="1" t="n">
        <v>45068</v>
      </c>
      <c r="C1616" s="1" t="n">
        <v>45952</v>
      </c>
      <c r="D1616" t="inlineStr">
        <is>
          <t>ÖREBRO LÄN</t>
        </is>
      </c>
      <c r="E1616" t="inlineStr">
        <is>
          <t>LEKEBERG</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27434-2023</t>
        </is>
      </c>
      <c r="B1617" s="1" t="n">
        <v>45097.38688657407</v>
      </c>
      <c r="C1617" s="1" t="n">
        <v>45952</v>
      </c>
      <c r="D1617" t="inlineStr">
        <is>
          <t>ÖREBRO LÄN</t>
        </is>
      </c>
      <c r="E1617" t="inlineStr">
        <is>
          <t>LINDESBERG</t>
        </is>
      </c>
      <c r="G1617" t="n">
        <v>10.7</v>
      </c>
      <c r="H1617" t="n">
        <v>0</v>
      </c>
      <c r="I1617" t="n">
        <v>0</v>
      </c>
      <c r="J1617" t="n">
        <v>0</v>
      </c>
      <c r="K1617" t="n">
        <v>0</v>
      </c>
      <c r="L1617" t="n">
        <v>0</v>
      </c>
      <c r="M1617" t="n">
        <v>0</v>
      </c>
      <c r="N1617" t="n">
        <v>0</v>
      </c>
      <c r="O1617" t="n">
        <v>0</v>
      </c>
      <c r="P1617" t="n">
        <v>0</v>
      </c>
      <c r="Q1617" t="n">
        <v>0</v>
      </c>
      <c r="R1617" s="2" t="inlineStr"/>
    </row>
    <row r="1618" ht="15" customHeight="1">
      <c r="A1618" t="inlineStr">
        <is>
          <t>A 14497-2025</t>
        </is>
      </c>
      <c r="B1618" s="1" t="n">
        <v>45741.61515046296</v>
      </c>
      <c r="C1618" s="1" t="n">
        <v>45952</v>
      </c>
      <c r="D1618" t="inlineStr">
        <is>
          <t>ÖREBRO LÄN</t>
        </is>
      </c>
      <c r="E1618" t="inlineStr">
        <is>
          <t>ASKERSUND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4310-2025</t>
        </is>
      </c>
      <c r="B1619" s="1" t="n">
        <v>45685</v>
      </c>
      <c r="C1619" s="1" t="n">
        <v>45952</v>
      </c>
      <c r="D1619" t="inlineStr">
        <is>
          <t>ÖREBRO LÄN</t>
        </is>
      </c>
      <c r="E1619" t="inlineStr">
        <is>
          <t>LINDESBERG</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19709-2024</t>
        </is>
      </c>
      <c r="B1620" s="1" t="n">
        <v>45432.55381944445</v>
      </c>
      <c r="C1620" s="1" t="n">
        <v>45952</v>
      </c>
      <c r="D1620" t="inlineStr">
        <is>
          <t>ÖREBRO LÄN</t>
        </is>
      </c>
      <c r="E1620" t="inlineStr">
        <is>
          <t>HALLSBERG</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53910-2023</t>
        </is>
      </c>
      <c r="B1621" s="1" t="n">
        <v>45231.55751157407</v>
      </c>
      <c r="C1621" s="1" t="n">
        <v>45952</v>
      </c>
      <c r="D1621" t="inlineStr">
        <is>
          <t>ÖREBRO LÄN</t>
        </is>
      </c>
      <c r="E1621" t="inlineStr">
        <is>
          <t>LEKEBERG</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53938-2023</t>
        </is>
      </c>
      <c r="B1622" s="1" t="n">
        <v>45231</v>
      </c>
      <c r="C1622" s="1" t="n">
        <v>45952</v>
      </c>
      <c r="D1622" t="inlineStr">
        <is>
          <t>ÖREBRO LÄN</t>
        </is>
      </c>
      <c r="E1622" t="inlineStr">
        <is>
          <t>NORA</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20981-2024</t>
        </is>
      </c>
      <c r="B1623" s="1" t="n">
        <v>45439</v>
      </c>
      <c r="C1623" s="1" t="n">
        <v>45952</v>
      </c>
      <c r="D1623" t="inlineStr">
        <is>
          <t>ÖREBRO LÄN</t>
        </is>
      </c>
      <c r="E1623" t="inlineStr">
        <is>
          <t>HALLSBERG</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19026-2021</t>
        </is>
      </c>
      <c r="B1624" s="1" t="n">
        <v>44308</v>
      </c>
      <c r="C1624" s="1" t="n">
        <v>45952</v>
      </c>
      <c r="D1624" t="inlineStr">
        <is>
          <t>ÖREBRO LÄN</t>
        </is>
      </c>
      <c r="E1624" t="inlineStr">
        <is>
          <t>LINDESBERG</t>
        </is>
      </c>
      <c r="F1624" t="inlineStr">
        <is>
          <t>Sveaskog</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40897-2023</t>
        </is>
      </c>
      <c r="B1625" s="1" t="n">
        <v>45173</v>
      </c>
      <c r="C1625" s="1" t="n">
        <v>45952</v>
      </c>
      <c r="D1625" t="inlineStr">
        <is>
          <t>ÖREBRO LÄN</t>
        </is>
      </c>
      <c r="E1625" t="inlineStr">
        <is>
          <t>KUMLA</t>
        </is>
      </c>
      <c r="G1625" t="n">
        <v>4.7</v>
      </c>
      <c r="H1625" t="n">
        <v>0</v>
      </c>
      <c r="I1625" t="n">
        <v>0</v>
      </c>
      <c r="J1625" t="n">
        <v>0</v>
      </c>
      <c r="K1625" t="n">
        <v>0</v>
      </c>
      <c r="L1625" t="n">
        <v>0</v>
      </c>
      <c r="M1625" t="n">
        <v>0</v>
      </c>
      <c r="N1625" t="n">
        <v>0</v>
      </c>
      <c r="O1625" t="n">
        <v>0</v>
      </c>
      <c r="P1625" t="n">
        <v>0</v>
      </c>
      <c r="Q1625" t="n">
        <v>0</v>
      </c>
      <c r="R1625" s="2" t="inlineStr"/>
    </row>
    <row r="1626" ht="15" customHeight="1">
      <c r="A1626" t="inlineStr">
        <is>
          <t>A 4470-2022</t>
        </is>
      </c>
      <c r="B1626" s="1" t="n">
        <v>44589</v>
      </c>
      <c r="C1626" s="1" t="n">
        <v>45952</v>
      </c>
      <c r="D1626" t="inlineStr">
        <is>
          <t>ÖREBRO LÄN</t>
        </is>
      </c>
      <c r="E1626" t="inlineStr">
        <is>
          <t>LEKEBERG</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7903-2022</t>
        </is>
      </c>
      <c r="B1627" s="1" t="n">
        <v>44607</v>
      </c>
      <c r="C1627" s="1" t="n">
        <v>45952</v>
      </c>
      <c r="D1627" t="inlineStr">
        <is>
          <t>ÖREBRO LÄN</t>
        </is>
      </c>
      <c r="E1627" t="inlineStr">
        <is>
          <t>LJUSNARSBERG</t>
        </is>
      </c>
      <c r="F1627" t="inlineStr">
        <is>
          <t>Kyrkan</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11968-2023</t>
        </is>
      </c>
      <c r="B1628" s="1" t="n">
        <v>44995.5708912037</v>
      </c>
      <c r="C1628" s="1" t="n">
        <v>45952</v>
      </c>
      <c r="D1628" t="inlineStr">
        <is>
          <t>ÖREBRO LÄN</t>
        </is>
      </c>
      <c r="E1628" t="inlineStr">
        <is>
          <t>ASKERSUND</t>
        </is>
      </c>
      <c r="F1628" t="inlineStr">
        <is>
          <t>Sveaskog</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28579-2022</t>
        </is>
      </c>
      <c r="B1629" s="1" t="n">
        <v>44748</v>
      </c>
      <c r="C1629" s="1" t="n">
        <v>45952</v>
      </c>
      <c r="D1629" t="inlineStr">
        <is>
          <t>ÖREBRO LÄN</t>
        </is>
      </c>
      <c r="E1629" t="inlineStr">
        <is>
          <t>LEKEBERG</t>
        </is>
      </c>
      <c r="G1629" t="n">
        <v>3.4</v>
      </c>
      <c r="H1629" t="n">
        <v>0</v>
      </c>
      <c r="I1629" t="n">
        <v>0</v>
      </c>
      <c r="J1629" t="n">
        <v>0</v>
      </c>
      <c r="K1629" t="n">
        <v>0</v>
      </c>
      <c r="L1629" t="n">
        <v>0</v>
      </c>
      <c r="M1629" t="n">
        <v>0</v>
      </c>
      <c r="N1629" t="n">
        <v>0</v>
      </c>
      <c r="O1629" t="n">
        <v>0</v>
      </c>
      <c r="P1629" t="n">
        <v>0</v>
      </c>
      <c r="Q1629" t="n">
        <v>0</v>
      </c>
      <c r="R1629" s="2" t="inlineStr"/>
    </row>
    <row r="1630" ht="15" customHeight="1">
      <c r="A1630" t="inlineStr">
        <is>
          <t>A 41350-2023</t>
        </is>
      </c>
      <c r="B1630" s="1" t="n">
        <v>45174</v>
      </c>
      <c r="C1630" s="1" t="n">
        <v>45952</v>
      </c>
      <c r="D1630" t="inlineStr">
        <is>
          <t>ÖREBRO LÄN</t>
        </is>
      </c>
      <c r="E1630" t="inlineStr">
        <is>
          <t>LEKEBERG</t>
        </is>
      </c>
      <c r="F1630" t="inlineStr">
        <is>
          <t>Allmännings- och besparingsskogar</t>
        </is>
      </c>
      <c r="G1630" t="n">
        <v>8.800000000000001</v>
      </c>
      <c r="H1630" t="n">
        <v>0</v>
      </c>
      <c r="I1630" t="n">
        <v>0</v>
      </c>
      <c r="J1630" t="n">
        <v>0</v>
      </c>
      <c r="K1630" t="n">
        <v>0</v>
      </c>
      <c r="L1630" t="n">
        <v>0</v>
      </c>
      <c r="M1630" t="n">
        <v>0</v>
      </c>
      <c r="N1630" t="n">
        <v>0</v>
      </c>
      <c r="O1630" t="n">
        <v>0</v>
      </c>
      <c r="P1630" t="n">
        <v>0</v>
      </c>
      <c r="Q1630" t="n">
        <v>0</v>
      </c>
      <c r="R1630" s="2" t="inlineStr"/>
    </row>
    <row r="1631" ht="15" customHeight="1">
      <c r="A1631" t="inlineStr">
        <is>
          <t>A 46912-2023</t>
        </is>
      </c>
      <c r="B1631" s="1" t="n">
        <v>45201</v>
      </c>
      <c r="C1631" s="1" t="n">
        <v>45952</v>
      </c>
      <c r="D1631" t="inlineStr">
        <is>
          <t>ÖREBRO LÄN</t>
        </is>
      </c>
      <c r="E1631" t="inlineStr">
        <is>
          <t>HÄLLEFORS</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37450-2024</t>
        </is>
      </c>
      <c r="B1632" s="1" t="n">
        <v>45540.68736111111</v>
      </c>
      <c r="C1632" s="1" t="n">
        <v>45952</v>
      </c>
      <c r="D1632" t="inlineStr">
        <is>
          <t>ÖREBRO LÄN</t>
        </is>
      </c>
      <c r="E1632" t="inlineStr">
        <is>
          <t>LEKEBERG</t>
        </is>
      </c>
      <c r="G1632" t="n">
        <v>3.4</v>
      </c>
      <c r="H1632" t="n">
        <v>0</v>
      </c>
      <c r="I1632" t="n">
        <v>0</v>
      </c>
      <c r="J1632" t="n">
        <v>0</v>
      </c>
      <c r="K1632" t="n">
        <v>0</v>
      </c>
      <c r="L1632" t="n">
        <v>0</v>
      </c>
      <c r="M1632" t="n">
        <v>0</v>
      </c>
      <c r="N1632" t="n">
        <v>0</v>
      </c>
      <c r="O1632" t="n">
        <v>0</v>
      </c>
      <c r="P1632" t="n">
        <v>0</v>
      </c>
      <c r="Q1632" t="n">
        <v>0</v>
      </c>
      <c r="R1632" s="2" t="inlineStr"/>
    </row>
    <row r="1633" ht="15" customHeight="1">
      <c r="A1633" t="inlineStr">
        <is>
          <t>A 7201-2024</t>
        </is>
      </c>
      <c r="B1633" s="1" t="n">
        <v>45344.6027662037</v>
      </c>
      <c r="C1633" s="1" t="n">
        <v>45952</v>
      </c>
      <c r="D1633" t="inlineStr">
        <is>
          <t>ÖREBRO LÄN</t>
        </is>
      </c>
      <c r="E1633" t="inlineStr">
        <is>
          <t>LINDESBERG</t>
        </is>
      </c>
      <c r="G1633" t="n">
        <v>4.7</v>
      </c>
      <c r="H1633" t="n">
        <v>0</v>
      </c>
      <c r="I1633" t="n">
        <v>0</v>
      </c>
      <c r="J1633" t="n">
        <v>0</v>
      </c>
      <c r="K1633" t="n">
        <v>0</v>
      </c>
      <c r="L1633" t="n">
        <v>0</v>
      </c>
      <c r="M1633" t="n">
        <v>0</v>
      </c>
      <c r="N1633" t="n">
        <v>0</v>
      </c>
      <c r="O1633" t="n">
        <v>0</v>
      </c>
      <c r="P1633" t="n">
        <v>0</v>
      </c>
      <c r="Q1633" t="n">
        <v>0</v>
      </c>
      <c r="R1633" s="2" t="inlineStr"/>
    </row>
    <row r="1634" ht="15" customHeight="1">
      <c r="A1634" t="inlineStr">
        <is>
          <t>A 56478-2024</t>
        </is>
      </c>
      <c r="B1634" s="1" t="n">
        <v>45624</v>
      </c>
      <c r="C1634" s="1" t="n">
        <v>45952</v>
      </c>
      <c r="D1634" t="inlineStr">
        <is>
          <t>ÖREBRO LÄN</t>
        </is>
      </c>
      <c r="E1634" t="inlineStr">
        <is>
          <t>DEGERFORS</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5080-2024</t>
        </is>
      </c>
      <c r="B1635" s="1" t="n">
        <v>45330</v>
      </c>
      <c r="C1635" s="1" t="n">
        <v>45952</v>
      </c>
      <c r="D1635" t="inlineStr">
        <is>
          <t>ÖREBRO LÄN</t>
        </is>
      </c>
      <c r="E1635" t="inlineStr">
        <is>
          <t>LINDESBERG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19816-2025</t>
        </is>
      </c>
      <c r="B1636" s="1" t="n">
        <v>45771.45965277778</v>
      </c>
      <c r="C1636" s="1" t="n">
        <v>45952</v>
      </c>
      <c r="D1636" t="inlineStr">
        <is>
          <t>ÖREBRO LÄN</t>
        </is>
      </c>
      <c r="E1636" t="inlineStr">
        <is>
          <t>LAXÅ</t>
        </is>
      </c>
      <c r="F1636" t="inlineStr">
        <is>
          <t>Sveaskog</t>
        </is>
      </c>
      <c r="G1636" t="n">
        <v>4.3</v>
      </c>
      <c r="H1636" t="n">
        <v>0</v>
      </c>
      <c r="I1636" t="n">
        <v>0</v>
      </c>
      <c r="J1636" t="n">
        <v>0</v>
      </c>
      <c r="K1636" t="n">
        <v>0</v>
      </c>
      <c r="L1636" t="n">
        <v>0</v>
      </c>
      <c r="M1636" t="n">
        <v>0</v>
      </c>
      <c r="N1636" t="n">
        <v>0</v>
      </c>
      <c r="O1636" t="n">
        <v>0</v>
      </c>
      <c r="P1636" t="n">
        <v>0</v>
      </c>
      <c r="Q1636" t="n">
        <v>0</v>
      </c>
      <c r="R1636" s="2" t="inlineStr"/>
    </row>
    <row r="1637" ht="15" customHeight="1">
      <c r="A1637" t="inlineStr">
        <is>
          <t>A 19820-2025</t>
        </is>
      </c>
      <c r="B1637" s="1" t="n">
        <v>45771.46131944445</v>
      </c>
      <c r="C1637" s="1" t="n">
        <v>45952</v>
      </c>
      <c r="D1637" t="inlineStr">
        <is>
          <t>ÖREBRO LÄN</t>
        </is>
      </c>
      <c r="E1637" t="inlineStr">
        <is>
          <t>LAXÅ</t>
        </is>
      </c>
      <c r="F1637" t="inlineStr">
        <is>
          <t>Sveaskog</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11064-2025</t>
        </is>
      </c>
      <c r="B1638" s="1" t="n">
        <v>45723.52434027778</v>
      </c>
      <c r="C1638" s="1" t="n">
        <v>45952</v>
      </c>
      <c r="D1638" t="inlineStr">
        <is>
          <t>ÖREBRO LÄN</t>
        </is>
      </c>
      <c r="E1638" t="inlineStr">
        <is>
          <t>ASKERSUND</t>
        </is>
      </c>
      <c r="F1638" t="inlineStr">
        <is>
          <t>Sveaskog</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55472-2023</t>
        </is>
      </c>
      <c r="B1639" s="1" t="n">
        <v>45238</v>
      </c>
      <c r="C1639" s="1" t="n">
        <v>45952</v>
      </c>
      <c r="D1639" t="inlineStr">
        <is>
          <t>ÖREBRO LÄN</t>
        </is>
      </c>
      <c r="E1639" t="inlineStr">
        <is>
          <t>ÖREBRO</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47110-2024</t>
        </is>
      </c>
      <c r="B1640" s="1" t="n">
        <v>45586.55451388889</v>
      </c>
      <c r="C1640" s="1" t="n">
        <v>45952</v>
      </c>
      <c r="D1640" t="inlineStr">
        <is>
          <t>ÖREBRO LÄN</t>
        </is>
      </c>
      <c r="E1640" t="inlineStr">
        <is>
          <t>LINDESBERG</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14580-2025</t>
        </is>
      </c>
      <c r="B1641" s="1" t="n">
        <v>45742.30726851852</v>
      </c>
      <c r="C1641" s="1" t="n">
        <v>45952</v>
      </c>
      <c r="D1641" t="inlineStr">
        <is>
          <t>ÖREBRO LÄN</t>
        </is>
      </c>
      <c r="E1641" t="inlineStr">
        <is>
          <t>LAXÅ</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15252-2025</t>
        </is>
      </c>
      <c r="B1642" s="1" t="n">
        <v>45744</v>
      </c>
      <c r="C1642" s="1" t="n">
        <v>45952</v>
      </c>
      <c r="D1642" t="inlineStr">
        <is>
          <t>ÖREBRO LÄN</t>
        </is>
      </c>
      <c r="E1642" t="inlineStr">
        <is>
          <t>KARLSKOGA</t>
        </is>
      </c>
      <c r="F1642" t="inlineStr">
        <is>
          <t>Sveaskog</t>
        </is>
      </c>
      <c r="G1642" t="n">
        <v>2.8</v>
      </c>
      <c r="H1642" t="n">
        <v>0</v>
      </c>
      <c r="I1642" t="n">
        <v>0</v>
      </c>
      <c r="J1642" t="n">
        <v>0</v>
      </c>
      <c r="K1642" t="n">
        <v>0</v>
      </c>
      <c r="L1642" t="n">
        <v>0</v>
      </c>
      <c r="M1642" t="n">
        <v>0</v>
      </c>
      <c r="N1642" t="n">
        <v>0</v>
      </c>
      <c r="O1642" t="n">
        <v>0</v>
      </c>
      <c r="P1642" t="n">
        <v>0</v>
      </c>
      <c r="Q1642" t="n">
        <v>0</v>
      </c>
      <c r="R1642" s="2" t="inlineStr"/>
    </row>
    <row r="1643" ht="15" customHeight="1">
      <c r="A1643" t="inlineStr">
        <is>
          <t>A 15253-2025</t>
        </is>
      </c>
      <c r="B1643" s="1" t="n">
        <v>45744</v>
      </c>
      <c r="C1643" s="1" t="n">
        <v>45952</v>
      </c>
      <c r="D1643" t="inlineStr">
        <is>
          <t>ÖREBRO LÄN</t>
        </is>
      </c>
      <c r="E1643" t="inlineStr">
        <is>
          <t>KARLSKOGA</t>
        </is>
      </c>
      <c r="F1643" t="inlineStr">
        <is>
          <t>Sveaskog</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37570-2023</t>
        </is>
      </c>
      <c r="B1644" s="1" t="n">
        <v>45159.37641203704</v>
      </c>
      <c r="C1644" s="1" t="n">
        <v>45952</v>
      </c>
      <c r="D1644" t="inlineStr">
        <is>
          <t>ÖREBRO LÄN</t>
        </is>
      </c>
      <c r="E1644" t="inlineStr">
        <is>
          <t>LAXÅ</t>
        </is>
      </c>
      <c r="F1644" t="inlineStr">
        <is>
          <t>Sveaskog</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40530-2022</t>
        </is>
      </c>
      <c r="B1645" s="1" t="n">
        <v>44823</v>
      </c>
      <c r="C1645" s="1" t="n">
        <v>45952</v>
      </c>
      <c r="D1645" t="inlineStr">
        <is>
          <t>ÖREBRO LÄN</t>
        </is>
      </c>
      <c r="E1645" t="inlineStr">
        <is>
          <t>HÄLLEFORS</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32086-2023</t>
        </is>
      </c>
      <c r="B1646" s="1" t="n">
        <v>45119.59789351852</v>
      </c>
      <c r="C1646" s="1" t="n">
        <v>45952</v>
      </c>
      <c r="D1646" t="inlineStr">
        <is>
          <t>ÖREBRO LÄN</t>
        </is>
      </c>
      <c r="E1646" t="inlineStr">
        <is>
          <t>ÖREBRO</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22079-2023</t>
        </is>
      </c>
      <c r="B1647" s="1" t="n">
        <v>45069</v>
      </c>
      <c r="C1647" s="1" t="n">
        <v>45952</v>
      </c>
      <c r="D1647" t="inlineStr">
        <is>
          <t>ÖREBRO LÄN</t>
        </is>
      </c>
      <c r="E1647" t="inlineStr">
        <is>
          <t>ÖREBRO</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4440-2024</t>
        </is>
      </c>
      <c r="B1648" s="1" t="n">
        <v>45327</v>
      </c>
      <c r="C1648" s="1" t="n">
        <v>45952</v>
      </c>
      <c r="D1648" t="inlineStr">
        <is>
          <t>ÖREBRO LÄN</t>
        </is>
      </c>
      <c r="E1648" t="inlineStr">
        <is>
          <t>LINDESBERG</t>
        </is>
      </c>
      <c r="F1648" t="inlineStr">
        <is>
          <t>BillerudKorsnäs AB</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20800-2024</t>
        </is>
      </c>
      <c r="B1649" s="1" t="n">
        <v>45438</v>
      </c>
      <c r="C1649" s="1" t="n">
        <v>45952</v>
      </c>
      <c r="D1649" t="inlineStr">
        <is>
          <t>ÖREBRO LÄN</t>
        </is>
      </c>
      <c r="E1649" t="inlineStr">
        <is>
          <t>LEKEBERG</t>
        </is>
      </c>
      <c r="G1649" t="n">
        <v>3.6</v>
      </c>
      <c r="H1649" t="n">
        <v>0</v>
      </c>
      <c r="I1649" t="n">
        <v>0</v>
      </c>
      <c r="J1649" t="n">
        <v>0</v>
      </c>
      <c r="K1649" t="n">
        <v>0</v>
      </c>
      <c r="L1649" t="n">
        <v>0</v>
      </c>
      <c r="M1649" t="n">
        <v>0</v>
      </c>
      <c r="N1649" t="n">
        <v>0</v>
      </c>
      <c r="O1649" t="n">
        <v>0</v>
      </c>
      <c r="P1649" t="n">
        <v>0</v>
      </c>
      <c r="Q1649" t="n">
        <v>0</v>
      </c>
      <c r="R1649" s="2" t="inlineStr"/>
    </row>
    <row r="1650" ht="15" customHeight="1">
      <c r="A1650" t="inlineStr">
        <is>
          <t>A 38875-2025</t>
        </is>
      </c>
      <c r="B1650" s="1" t="n">
        <v>45887</v>
      </c>
      <c r="C1650" s="1" t="n">
        <v>45952</v>
      </c>
      <c r="D1650" t="inlineStr">
        <is>
          <t>ÖREBRO LÄN</t>
        </is>
      </c>
      <c r="E1650" t="inlineStr">
        <is>
          <t>DEGERFORS</t>
        </is>
      </c>
      <c r="F1650" t="inlineStr">
        <is>
          <t>Sveaskog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38881-2025</t>
        </is>
      </c>
      <c r="B1651" s="1" t="n">
        <v>45887</v>
      </c>
      <c r="C1651" s="1" t="n">
        <v>45952</v>
      </c>
      <c r="D1651" t="inlineStr">
        <is>
          <t>ÖREBRO LÄN</t>
        </is>
      </c>
      <c r="E1651" t="inlineStr">
        <is>
          <t>ASKERSUND</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6300-2024</t>
        </is>
      </c>
      <c r="B1652" s="1" t="n">
        <v>45338.35049768518</v>
      </c>
      <c r="C1652" s="1" t="n">
        <v>45952</v>
      </c>
      <c r="D1652" t="inlineStr">
        <is>
          <t>ÖREBRO LÄN</t>
        </is>
      </c>
      <c r="E1652" t="inlineStr">
        <is>
          <t>LAXÅ</t>
        </is>
      </c>
      <c r="G1652" t="n">
        <v>3.1</v>
      </c>
      <c r="H1652" t="n">
        <v>0</v>
      </c>
      <c r="I1652" t="n">
        <v>0</v>
      </c>
      <c r="J1652" t="n">
        <v>0</v>
      </c>
      <c r="K1652" t="n">
        <v>0</v>
      </c>
      <c r="L1652" t="n">
        <v>0</v>
      </c>
      <c r="M1652" t="n">
        <v>0</v>
      </c>
      <c r="N1652" t="n">
        <v>0</v>
      </c>
      <c r="O1652" t="n">
        <v>0</v>
      </c>
      <c r="P1652" t="n">
        <v>0</v>
      </c>
      <c r="Q1652" t="n">
        <v>0</v>
      </c>
      <c r="R1652" s="2" t="inlineStr"/>
    </row>
    <row r="1653" ht="15" customHeight="1">
      <c r="A1653" t="inlineStr">
        <is>
          <t>A 27440-2023</t>
        </is>
      </c>
      <c r="B1653" s="1" t="n">
        <v>45097.39893518519</v>
      </c>
      <c r="C1653" s="1" t="n">
        <v>45952</v>
      </c>
      <c r="D1653" t="inlineStr">
        <is>
          <t>ÖREBRO LÄN</t>
        </is>
      </c>
      <c r="E1653" t="inlineStr">
        <is>
          <t>LINDESBERG</t>
        </is>
      </c>
      <c r="G1653" t="n">
        <v>6.6</v>
      </c>
      <c r="H1653" t="n">
        <v>0</v>
      </c>
      <c r="I1653" t="n">
        <v>0</v>
      </c>
      <c r="J1653" t="n">
        <v>0</v>
      </c>
      <c r="K1653" t="n">
        <v>0</v>
      </c>
      <c r="L1653" t="n">
        <v>0</v>
      </c>
      <c r="M1653" t="n">
        <v>0</v>
      </c>
      <c r="N1653" t="n">
        <v>0</v>
      </c>
      <c r="O1653" t="n">
        <v>0</v>
      </c>
      <c r="P1653" t="n">
        <v>0</v>
      </c>
      <c r="Q1653" t="n">
        <v>0</v>
      </c>
      <c r="R1653" s="2" t="inlineStr"/>
    </row>
    <row r="1654" ht="15" customHeight="1">
      <c r="A1654" t="inlineStr">
        <is>
          <t>A 26415-2024</t>
        </is>
      </c>
      <c r="B1654" s="1" t="n">
        <v>45469.456875</v>
      </c>
      <c r="C1654" s="1" t="n">
        <v>45952</v>
      </c>
      <c r="D1654" t="inlineStr">
        <is>
          <t>ÖREBRO LÄN</t>
        </is>
      </c>
      <c r="E1654" t="inlineStr">
        <is>
          <t>ASKERSUND</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9437-2025</t>
        </is>
      </c>
      <c r="B1655" s="1" t="n">
        <v>45715.4134375</v>
      </c>
      <c r="C1655" s="1" t="n">
        <v>45952</v>
      </c>
      <c r="D1655" t="inlineStr">
        <is>
          <t>ÖREBRO LÄN</t>
        </is>
      </c>
      <c r="E1655" t="inlineStr">
        <is>
          <t>ASKERSUND</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60965-2021</t>
        </is>
      </c>
      <c r="B1656" s="1" t="n">
        <v>44497</v>
      </c>
      <c r="C1656" s="1" t="n">
        <v>45952</v>
      </c>
      <c r="D1656" t="inlineStr">
        <is>
          <t>ÖREBRO LÄN</t>
        </is>
      </c>
      <c r="E1656" t="inlineStr">
        <is>
          <t>ASKERSUND</t>
        </is>
      </c>
      <c r="G1656" t="n">
        <v>0</v>
      </c>
      <c r="H1656" t="n">
        <v>0</v>
      </c>
      <c r="I1656" t="n">
        <v>0</v>
      </c>
      <c r="J1656" t="n">
        <v>0</v>
      </c>
      <c r="K1656" t="n">
        <v>0</v>
      </c>
      <c r="L1656" t="n">
        <v>0</v>
      </c>
      <c r="M1656" t="n">
        <v>0</v>
      </c>
      <c r="N1656" t="n">
        <v>0</v>
      </c>
      <c r="O1656" t="n">
        <v>0</v>
      </c>
      <c r="P1656" t="n">
        <v>0</v>
      </c>
      <c r="Q1656" t="n">
        <v>0</v>
      </c>
      <c r="R1656" s="2" t="inlineStr"/>
    </row>
    <row r="1657" ht="15" customHeight="1">
      <c r="A1657" t="inlineStr">
        <is>
          <t>A 42761-2023</t>
        </is>
      </c>
      <c r="B1657" s="1" t="n">
        <v>45177</v>
      </c>
      <c r="C1657" s="1" t="n">
        <v>45952</v>
      </c>
      <c r="D1657" t="inlineStr">
        <is>
          <t>ÖREBRO LÄN</t>
        </is>
      </c>
      <c r="E1657" t="inlineStr">
        <is>
          <t>LJUSNARSBERG</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67053-2021</t>
        </is>
      </c>
      <c r="B1658" s="1" t="n">
        <v>44522</v>
      </c>
      <c r="C1658" s="1" t="n">
        <v>45952</v>
      </c>
      <c r="D1658" t="inlineStr">
        <is>
          <t>ÖREBRO LÄN</t>
        </is>
      </c>
      <c r="E1658" t="inlineStr">
        <is>
          <t>LAXÅ</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1019-2025</t>
        </is>
      </c>
      <c r="B1659" s="1" t="n">
        <v>45666.49216435185</v>
      </c>
      <c r="C1659" s="1" t="n">
        <v>45952</v>
      </c>
      <c r="D1659" t="inlineStr">
        <is>
          <t>ÖREBRO LÄN</t>
        </is>
      </c>
      <c r="E1659" t="inlineStr">
        <is>
          <t>HÄLLEFORS</t>
        </is>
      </c>
      <c r="G1659" t="n">
        <v>0.4</v>
      </c>
      <c r="H1659" t="n">
        <v>0</v>
      </c>
      <c r="I1659" t="n">
        <v>0</v>
      </c>
      <c r="J1659" t="n">
        <v>0</v>
      </c>
      <c r="K1659" t="n">
        <v>0</v>
      </c>
      <c r="L1659" t="n">
        <v>0</v>
      </c>
      <c r="M1659" t="n">
        <v>0</v>
      </c>
      <c r="N1659" t="n">
        <v>0</v>
      </c>
      <c r="O1659" t="n">
        <v>0</v>
      </c>
      <c r="P1659" t="n">
        <v>0</v>
      </c>
      <c r="Q1659" t="n">
        <v>0</v>
      </c>
      <c r="R1659" s="2" t="inlineStr"/>
    </row>
    <row r="1660" ht="15" customHeight="1">
      <c r="A1660" t="inlineStr">
        <is>
          <t>A 55747-2024</t>
        </is>
      </c>
      <c r="B1660" s="1" t="n">
        <v>45623.32141203704</v>
      </c>
      <c r="C1660" s="1" t="n">
        <v>45952</v>
      </c>
      <c r="D1660" t="inlineStr">
        <is>
          <t>ÖREBRO LÄN</t>
        </is>
      </c>
      <c r="E1660" t="inlineStr">
        <is>
          <t>HÄLLEFORS</t>
        </is>
      </c>
      <c r="F1660" t="inlineStr">
        <is>
          <t>Bergvik skog väst AB</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5129-2024</t>
        </is>
      </c>
      <c r="B1661" s="1" t="n">
        <v>45330</v>
      </c>
      <c r="C1661" s="1" t="n">
        <v>45952</v>
      </c>
      <c r="D1661" t="inlineStr">
        <is>
          <t>ÖREBRO LÄN</t>
        </is>
      </c>
      <c r="E1661" t="inlineStr">
        <is>
          <t>ÖREBRO</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49959-2023</t>
        </is>
      </c>
      <c r="B1662" s="1" t="n">
        <v>45215.38530092593</v>
      </c>
      <c r="C1662" s="1" t="n">
        <v>45952</v>
      </c>
      <c r="D1662" t="inlineStr">
        <is>
          <t>ÖREBRO LÄN</t>
        </is>
      </c>
      <c r="E1662" t="inlineStr">
        <is>
          <t>NORA</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29993-2023</t>
        </is>
      </c>
      <c r="B1663" s="1" t="n">
        <v>45109.58806712963</v>
      </c>
      <c r="C1663" s="1" t="n">
        <v>45952</v>
      </c>
      <c r="D1663" t="inlineStr">
        <is>
          <t>ÖREBRO LÄN</t>
        </is>
      </c>
      <c r="E1663" t="inlineStr">
        <is>
          <t>ASKERSUND</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13413-2025</t>
        </is>
      </c>
      <c r="B1664" s="1" t="n">
        <v>45736.27847222222</v>
      </c>
      <c r="C1664" s="1" t="n">
        <v>45952</v>
      </c>
      <c r="D1664" t="inlineStr">
        <is>
          <t>ÖREBRO LÄN</t>
        </is>
      </c>
      <c r="E1664" t="inlineStr">
        <is>
          <t>DEGERFORS</t>
        </is>
      </c>
      <c r="F1664" t="inlineStr">
        <is>
          <t>Sveaskog</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58486-2024</t>
        </is>
      </c>
      <c r="B1665" s="1" t="n">
        <v>45635</v>
      </c>
      <c r="C1665" s="1" t="n">
        <v>45952</v>
      </c>
      <c r="D1665" t="inlineStr">
        <is>
          <t>ÖREBRO LÄN</t>
        </is>
      </c>
      <c r="E1665" t="inlineStr">
        <is>
          <t>ÖREBRO</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2630-2023</t>
        </is>
      </c>
      <c r="B1666" s="1" t="n">
        <v>44944.39105324074</v>
      </c>
      <c r="C1666" s="1" t="n">
        <v>45952</v>
      </c>
      <c r="D1666" t="inlineStr">
        <is>
          <t>ÖREBRO LÄN</t>
        </is>
      </c>
      <c r="E1666" t="inlineStr">
        <is>
          <t>ÖREBRO</t>
        </is>
      </c>
      <c r="G1666" t="n">
        <v>6.1</v>
      </c>
      <c r="H1666" t="n">
        <v>0</v>
      </c>
      <c r="I1666" t="n">
        <v>0</v>
      </c>
      <c r="J1666" t="n">
        <v>0</v>
      </c>
      <c r="K1666" t="n">
        <v>0</v>
      </c>
      <c r="L1666" t="n">
        <v>0</v>
      </c>
      <c r="M1666" t="n">
        <v>0</v>
      </c>
      <c r="N1666" t="n">
        <v>0</v>
      </c>
      <c r="O1666" t="n">
        <v>0</v>
      </c>
      <c r="P1666" t="n">
        <v>0</v>
      </c>
      <c r="Q1666" t="n">
        <v>0</v>
      </c>
      <c r="R1666" s="2" t="inlineStr"/>
    </row>
    <row r="1667" ht="15" customHeight="1">
      <c r="A1667" t="inlineStr">
        <is>
          <t>A 9536-2025</t>
        </is>
      </c>
      <c r="B1667" s="1" t="n">
        <v>45715.57746527778</v>
      </c>
      <c r="C1667" s="1" t="n">
        <v>45952</v>
      </c>
      <c r="D1667" t="inlineStr">
        <is>
          <t>ÖREBRO LÄN</t>
        </is>
      </c>
      <c r="E1667" t="inlineStr">
        <is>
          <t>HÄLLEFORS</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46877-2022</t>
        </is>
      </c>
      <c r="B1668" s="1" t="n">
        <v>44848</v>
      </c>
      <c r="C1668" s="1" t="n">
        <v>45952</v>
      </c>
      <c r="D1668" t="inlineStr">
        <is>
          <t>ÖREBRO LÄN</t>
        </is>
      </c>
      <c r="E1668" t="inlineStr">
        <is>
          <t>LEKEBERG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39137-2024</t>
        </is>
      </c>
      <c r="B1669" s="1" t="n">
        <v>45548</v>
      </c>
      <c r="C1669" s="1" t="n">
        <v>45952</v>
      </c>
      <c r="D1669" t="inlineStr">
        <is>
          <t>ÖREBRO LÄN</t>
        </is>
      </c>
      <c r="E1669" t="inlineStr">
        <is>
          <t>LINDESBERG</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39152-2024</t>
        </is>
      </c>
      <c r="B1670" s="1" t="n">
        <v>45548</v>
      </c>
      <c r="C1670" s="1" t="n">
        <v>45952</v>
      </c>
      <c r="D1670" t="inlineStr">
        <is>
          <t>ÖREBRO LÄN</t>
        </is>
      </c>
      <c r="E1670" t="inlineStr">
        <is>
          <t>LINDESBERG</t>
        </is>
      </c>
      <c r="F1670" t="inlineStr">
        <is>
          <t>Sveaskog</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39171-2024</t>
        </is>
      </c>
      <c r="B1671" s="1" t="n">
        <v>45548</v>
      </c>
      <c r="C1671" s="1" t="n">
        <v>45952</v>
      </c>
      <c r="D1671" t="inlineStr">
        <is>
          <t>ÖREBRO LÄN</t>
        </is>
      </c>
      <c r="E1671" t="inlineStr">
        <is>
          <t>HÄLLEFORS</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55397-2023</t>
        </is>
      </c>
      <c r="B1672" s="1" t="n">
        <v>45238</v>
      </c>
      <c r="C1672" s="1" t="n">
        <v>45952</v>
      </c>
      <c r="D1672" t="inlineStr">
        <is>
          <t>ÖREBRO LÄN</t>
        </is>
      </c>
      <c r="E1672" t="inlineStr">
        <is>
          <t>HÄLLEFORS</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5330-2024</t>
        </is>
      </c>
      <c r="B1673" s="1" t="n">
        <v>45331.4187962963</v>
      </c>
      <c r="C1673" s="1" t="n">
        <v>45952</v>
      </c>
      <c r="D1673" t="inlineStr">
        <is>
          <t>ÖREBRO LÄN</t>
        </is>
      </c>
      <c r="E1673" t="inlineStr">
        <is>
          <t>ÖREBRO</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54925-2023</t>
        </is>
      </c>
      <c r="B1674" s="1" t="n">
        <v>45229</v>
      </c>
      <c r="C1674" s="1" t="n">
        <v>45952</v>
      </c>
      <c r="D1674" t="inlineStr">
        <is>
          <t>ÖREBRO LÄN</t>
        </is>
      </c>
      <c r="E1674" t="inlineStr">
        <is>
          <t>ÖREBRO</t>
        </is>
      </c>
      <c r="G1674" t="n">
        <v>9.800000000000001</v>
      </c>
      <c r="H1674" t="n">
        <v>0</v>
      </c>
      <c r="I1674" t="n">
        <v>0</v>
      </c>
      <c r="J1674" t="n">
        <v>0</v>
      </c>
      <c r="K1674" t="n">
        <v>0</v>
      </c>
      <c r="L1674" t="n">
        <v>0</v>
      </c>
      <c r="M1674" t="n">
        <v>0</v>
      </c>
      <c r="N1674" t="n">
        <v>0</v>
      </c>
      <c r="O1674" t="n">
        <v>0</v>
      </c>
      <c r="P1674" t="n">
        <v>0</v>
      </c>
      <c r="Q1674" t="n">
        <v>0</v>
      </c>
      <c r="R1674" s="2" t="inlineStr"/>
    </row>
    <row r="1675" ht="15" customHeight="1">
      <c r="A1675" t="inlineStr">
        <is>
          <t>A 54959-2023</t>
        </is>
      </c>
      <c r="B1675" s="1" t="n">
        <v>45236</v>
      </c>
      <c r="C1675" s="1" t="n">
        <v>45952</v>
      </c>
      <c r="D1675" t="inlineStr">
        <is>
          <t>ÖREBRO LÄN</t>
        </is>
      </c>
      <c r="E1675" t="inlineStr">
        <is>
          <t>LEKEBERG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13609-2025</t>
        </is>
      </c>
      <c r="B1676" s="1" t="n">
        <v>45736</v>
      </c>
      <c r="C1676" s="1" t="n">
        <v>45952</v>
      </c>
      <c r="D1676" t="inlineStr">
        <is>
          <t>ÖREBRO LÄN</t>
        </is>
      </c>
      <c r="E1676" t="inlineStr">
        <is>
          <t>LJUSNARSBERG</t>
        </is>
      </c>
      <c r="G1676" t="n">
        <v>8.9</v>
      </c>
      <c r="H1676" t="n">
        <v>0</v>
      </c>
      <c r="I1676" t="n">
        <v>0</v>
      </c>
      <c r="J1676" t="n">
        <v>0</v>
      </c>
      <c r="K1676" t="n">
        <v>0</v>
      </c>
      <c r="L1676" t="n">
        <v>0</v>
      </c>
      <c r="M1676" t="n">
        <v>0</v>
      </c>
      <c r="N1676" t="n">
        <v>0</v>
      </c>
      <c r="O1676" t="n">
        <v>0</v>
      </c>
      <c r="P1676" t="n">
        <v>0</v>
      </c>
      <c r="Q1676" t="n">
        <v>0</v>
      </c>
      <c r="R1676" s="2" t="inlineStr"/>
    </row>
    <row r="1677" ht="15" customHeight="1">
      <c r="A1677" t="inlineStr">
        <is>
          <t>A 9525-2025</t>
        </is>
      </c>
      <c r="B1677" s="1" t="n">
        <v>45715.56616898148</v>
      </c>
      <c r="C1677" s="1" t="n">
        <v>45952</v>
      </c>
      <c r="D1677" t="inlineStr">
        <is>
          <t>ÖREBRO LÄN</t>
        </is>
      </c>
      <c r="E1677" t="inlineStr">
        <is>
          <t>DEGERFORS</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15899-2025</t>
        </is>
      </c>
      <c r="B1678" s="1" t="n">
        <v>45749.42258101852</v>
      </c>
      <c r="C1678" s="1" t="n">
        <v>45952</v>
      </c>
      <c r="D1678" t="inlineStr">
        <is>
          <t>ÖREBRO LÄN</t>
        </is>
      </c>
      <c r="E1678" t="inlineStr">
        <is>
          <t>LINDESBERG</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26617-2022</t>
        </is>
      </c>
      <c r="B1679" s="1" t="n">
        <v>44739.57129629629</v>
      </c>
      <c r="C1679" s="1" t="n">
        <v>45952</v>
      </c>
      <c r="D1679" t="inlineStr">
        <is>
          <t>ÖREBRO LÄN</t>
        </is>
      </c>
      <c r="E1679" t="inlineStr">
        <is>
          <t>LJUSNARSBERG</t>
        </is>
      </c>
      <c r="G1679" t="n">
        <v>3.1</v>
      </c>
      <c r="H1679" t="n">
        <v>0</v>
      </c>
      <c r="I1679" t="n">
        <v>0</v>
      </c>
      <c r="J1679" t="n">
        <v>0</v>
      </c>
      <c r="K1679" t="n">
        <v>0</v>
      </c>
      <c r="L1679" t="n">
        <v>0</v>
      </c>
      <c r="M1679" t="n">
        <v>0</v>
      </c>
      <c r="N1679" t="n">
        <v>0</v>
      </c>
      <c r="O1679" t="n">
        <v>0</v>
      </c>
      <c r="P1679" t="n">
        <v>0</v>
      </c>
      <c r="Q1679" t="n">
        <v>0</v>
      </c>
      <c r="R1679" s="2" t="inlineStr"/>
    </row>
    <row r="1680" ht="15" customHeight="1">
      <c r="A1680" t="inlineStr">
        <is>
          <t>A 38872-2025</t>
        </is>
      </c>
      <c r="B1680" s="1" t="n">
        <v>45887.5749074074</v>
      </c>
      <c r="C1680" s="1" t="n">
        <v>45952</v>
      </c>
      <c r="D1680" t="inlineStr">
        <is>
          <t>ÖREBRO LÄN</t>
        </is>
      </c>
      <c r="E1680" t="inlineStr">
        <is>
          <t>DEGERFORS</t>
        </is>
      </c>
      <c r="F1680" t="inlineStr">
        <is>
          <t>Sveaskog</t>
        </is>
      </c>
      <c r="G1680" t="n">
        <v>6</v>
      </c>
      <c r="H1680" t="n">
        <v>0</v>
      </c>
      <c r="I1680" t="n">
        <v>0</v>
      </c>
      <c r="J1680" t="n">
        <v>0</v>
      </c>
      <c r="K1680" t="n">
        <v>0</v>
      </c>
      <c r="L1680" t="n">
        <v>0</v>
      </c>
      <c r="M1680" t="n">
        <v>0</v>
      </c>
      <c r="N1680" t="n">
        <v>0</v>
      </c>
      <c r="O1680" t="n">
        <v>0</v>
      </c>
      <c r="P1680" t="n">
        <v>0</v>
      </c>
      <c r="Q1680" t="n">
        <v>0</v>
      </c>
      <c r="R1680" s="2" t="inlineStr"/>
    </row>
    <row r="1681" ht="15" customHeight="1">
      <c r="A1681" t="inlineStr">
        <is>
          <t>A 49465-2024</t>
        </is>
      </c>
      <c r="B1681" s="1" t="n">
        <v>45596</v>
      </c>
      <c r="C1681" s="1" t="n">
        <v>45952</v>
      </c>
      <c r="D1681" t="inlineStr">
        <is>
          <t>ÖREBRO LÄN</t>
        </is>
      </c>
      <c r="E1681" t="inlineStr">
        <is>
          <t>ÖREBRO</t>
        </is>
      </c>
      <c r="F1681" t="inlineStr">
        <is>
          <t>Övriga Aktiebolag</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46602-2024</t>
        </is>
      </c>
      <c r="B1682" s="1" t="n">
        <v>45582.87300925926</v>
      </c>
      <c r="C1682" s="1" t="n">
        <v>45952</v>
      </c>
      <c r="D1682" t="inlineStr">
        <is>
          <t>ÖREBRO LÄN</t>
        </is>
      </c>
      <c r="E1682" t="inlineStr">
        <is>
          <t>HALLSBERG</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57639-2023</t>
        </is>
      </c>
      <c r="B1683" s="1" t="n">
        <v>45246</v>
      </c>
      <c r="C1683" s="1" t="n">
        <v>45952</v>
      </c>
      <c r="D1683" t="inlineStr">
        <is>
          <t>ÖREBRO LÄN</t>
        </is>
      </c>
      <c r="E1683" t="inlineStr">
        <is>
          <t>NORA</t>
        </is>
      </c>
      <c r="F1683" t="inlineStr">
        <is>
          <t>Sveaskog</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24391-2024</t>
        </is>
      </c>
      <c r="B1684" s="1" t="n">
        <v>45457.63850694444</v>
      </c>
      <c r="C1684" s="1" t="n">
        <v>45952</v>
      </c>
      <c r="D1684" t="inlineStr">
        <is>
          <t>ÖREBRO LÄN</t>
        </is>
      </c>
      <c r="E1684" t="inlineStr">
        <is>
          <t>NORA</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24392-2024</t>
        </is>
      </c>
      <c r="B1685" s="1" t="n">
        <v>45457.64085648148</v>
      </c>
      <c r="C1685" s="1" t="n">
        <v>45952</v>
      </c>
      <c r="D1685" t="inlineStr">
        <is>
          <t>ÖREBRO LÄN</t>
        </is>
      </c>
      <c r="E1685" t="inlineStr">
        <is>
          <t>NORA</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38842-2022</t>
        </is>
      </c>
      <c r="B1686" s="1" t="n">
        <v>44814</v>
      </c>
      <c r="C1686" s="1" t="n">
        <v>45952</v>
      </c>
      <c r="D1686" t="inlineStr">
        <is>
          <t>ÖREBRO LÄN</t>
        </is>
      </c>
      <c r="E1686" t="inlineStr">
        <is>
          <t>ÖREBRO</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21245-2024</t>
        </is>
      </c>
      <c r="B1687" s="1" t="n">
        <v>45440</v>
      </c>
      <c r="C1687" s="1" t="n">
        <v>45952</v>
      </c>
      <c r="D1687" t="inlineStr">
        <is>
          <t>ÖREBRO LÄN</t>
        </is>
      </c>
      <c r="E1687" t="inlineStr">
        <is>
          <t>LINDESBERG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66799-2020</t>
        </is>
      </c>
      <c r="B1688" s="1" t="n">
        <v>44179</v>
      </c>
      <c r="C1688" s="1" t="n">
        <v>45952</v>
      </c>
      <c r="D1688" t="inlineStr">
        <is>
          <t>ÖREBRO LÄN</t>
        </is>
      </c>
      <c r="E1688" t="inlineStr">
        <is>
          <t>ÖREBRO</t>
        </is>
      </c>
      <c r="G1688" t="n">
        <v>5.2</v>
      </c>
      <c r="H1688" t="n">
        <v>0</v>
      </c>
      <c r="I1688" t="n">
        <v>0</v>
      </c>
      <c r="J1688" t="n">
        <v>0</v>
      </c>
      <c r="K1688" t="n">
        <v>0</v>
      </c>
      <c r="L1688" t="n">
        <v>0</v>
      </c>
      <c r="M1688" t="n">
        <v>0</v>
      </c>
      <c r="N1688" t="n">
        <v>0</v>
      </c>
      <c r="O1688" t="n">
        <v>0</v>
      </c>
      <c r="P1688" t="n">
        <v>0</v>
      </c>
      <c r="Q1688" t="n">
        <v>0</v>
      </c>
      <c r="R1688" s="2" t="inlineStr"/>
    </row>
    <row r="1689" ht="15" customHeight="1">
      <c r="A1689" t="inlineStr">
        <is>
          <t>A 10830-2023</t>
        </is>
      </c>
      <c r="B1689" s="1" t="n">
        <v>44990.89752314815</v>
      </c>
      <c r="C1689" s="1" t="n">
        <v>45952</v>
      </c>
      <c r="D1689" t="inlineStr">
        <is>
          <t>ÖREBRO LÄN</t>
        </is>
      </c>
      <c r="E1689" t="inlineStr">
        <is>
          <t>ÖREBRO</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27052-2023</t>
        </is>
      </c>
      <c r="B1690" s="1" t="n">
        <v>45095</v>
      </c>
      <c r="C1690" s="1" t="n">
        <v>45952</v>
      </c>
      <c r="D1690" t="inlineStr">
        <is>
          <t>ÖREBRO LÄN</t>
        </is>
      </c>
      <c r="E1690" t="inlineStr">
        <is>
          <t>LINDESBERG</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17399-2023</t>
        </is>
      </c>
      <c r="B1691" s="1" t="n">
        <v>45035.6899537037</v>
      </c>
      <c r="C1691" s="1" t="n">
        <v>45952</v>
      </c>
      <c r="D1691" t="inlineStr">
        <is>
          <t>ÖREBRO LÄN</t>
        </is>
      </c>
      <c r="E1691" t="inlineStr">
        <is>
          <t>ASKERSUND</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53618-2024</t>
        </is>
      </c>
      <c r="B1692" s="1" t="n">
        <v>45614.73951388889</v>
      </c>
      <c r="C1692" s="1" t="n">
        <v>45952</v>
      </c>
      <c r="D1692" t="inlineStr">
        <is>
          <t>ÖREBRO LÄN</t>
        </is>
      </c>
      <c r="E1692" t="inlineStr">
        <is>
          <t>KARLSKOGA</t>
        </is>
      </c>
      <c r="G1692" t="n">
        <v>10.1</v>
      </c>
      <c r="H1692" t="n">
        <v>0</v>
      </c>
      <c r="I1692" t="n">
        <v>0</v>
      </c>
      <c r="J1692" t="n">
        <v>0</v>
      </c>
      <c r="K1692" t="n">
        <v>0</v>
      </c>
      <c r="L1692" t="n">
        <v>0</v>
      </c>
      <c r="M1692" t="n">
        <v>0</v>
      </c>
      <c r="N1692" t="n">
        <v>0</v>
      </c>
      <c r="O1692" t="n">
        <v>0</v>
      </c>
      <c r="P1692" t="n">
        <v>0</v>
      </c>
      <c r="Q1692" t="n">
        <v>0</v>
      </c>
      <c r="R1692" s="2" t="inlineStr"/>
    </row>
    <row r="1693" ht="15" customHeight="1">
      <c r="A1693" t="inlineStr">
        <is>
          <t>A 12053-2024</t>
        </is>
      </c>
      <c r="B1693" s="1" t="n">
        <v>45377.48265046296</v>
      </c>
      <c r="C1693" s="1" t="n">
        <v>45952</v>
      </c>
      <c r="D1693" t="inlineStr">
        <is>
          <t>ÖREBRO LÄN</t>
        </is>
      </c>
      <c r="E1693" t="inlineStr">
        <is>
          <t>LINDESBERG</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67726-2020</t>
        </is>
      </c>
      <c r="B1694" s="1" t="n">
        <v>44182</v>
      </c>
      <c r="C1694" s="1" t="n">
        <v>45952</v>
      </c>
      <c r="D1694" t="inlineStr">
        <is>
          <t>ÖREBRO LÄN</t>
        </is>
      </c>
      <c r="E1694" t="inlineStr">
        <is>
          <t>LAXÅ</t>
        </is>
      </c>
      <c r="F1694" t="inlineStr">
        <is>
          <t>Sveaskog</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52284-2024</t>
        </is>
      </c>
      <c r="B1695" s="1" t="n">
        <v>45608</v>
      </c>
      <c r="C1695" s="1" t="n">
        <v>45952</v>
      </c>
      <c r="D1695" t="inlineStr">
        <is>
          <t>ÖREBRO LÄN</t>
        </is>
      </c>
      <c r="E1695" t="inlineStr">
        <is>
          <t>LINDESBERG</t>
        </is>
      </c>
      <c r="F1695" t="inlineStr">
        <is>
          <t>Sveaskog</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17050-2025</t>
        </is>
      </c>
      <c r="B1696" s="1" t="n">
        <v>45755.5997337963</v>
      </c>
      <c r="C1696" s="1" t="n">
        <v>45952</v>
      </c>
      <c r="D1696" t="inlineStr">
        <is>
          <t>ÖREBRO LÄN</t>
        </is>
      </c>
      <c r="E1696" t="inlineStr">
        <is>
          <t>HÄLLEFORS</t>
        </is>
      </c>
      <c r="F1696" t="inlineStr">
        <is>
          <t>Bergvik skog väst AB</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37022-2024</t>
        </is>
      </c>
      <c r="B1697" s="1" t="n">
        <v>45539.3822337963</v>
      </c>
      <c r="C1697" s="1" t="n">
        <v>45952</v>
      </c>
      <c r="D1697" t="inlineStr">
        <is>
          <t>ÖREBRO LÄN</t>
        </is>
      </c>
      <c r="E1697" t="inlineStr">
        <is>
          <t>ÖREBRO</t>
        </is>
      </c>
      <c r="F1697" t="inlineStr">
        <is>
          <t>Sveaskog</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37024-2024</t>
        </is>
      </c>
      <c r="B1698" s="1" t="n">
        <v>45539.38329861111</v>
      </c>
      <c r="C1698" s="1" t="n">
        <v>45952</v>
      </c>
      <c r="D1698" t="inlineStr">
        <is>
          <t>ÖREBRO LÄN</t>
        </is>
      </c>
      <c r="E1698" t="inlineStr">
        <is>
          <t>ÖREBRO</t>
        </is>
      </c>
      <c r="F1698" t="inlineStr">
        <is>
          <t>Sveaskog</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15895-2025</t>
        </is>
      </c>
      <c r="B1699" s="1" t="n">
        <v>45749</v>
      </c>
      <c r="C1699" s="1" t="n">
        <v>45952</v>
      </c>
      <c r="D1699" t="inlineStr">
        <is>
          <t>ÖREBRO LÄN</t>
        </is>
      </c>
      <c r="E1699" t="inlineStr">
        <is>
          <t>LINDESBERG</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39871-2024</t>
        </is>
      </c>
      <c r="B1700" s="1" t="n">
        <v>45553</v>
      </c>
      <c r="C1700" s="1" t="n">
        <v>45952</v>
      </c>
      <c r="D1700" t="inlineStr">
        <is>
          <t>ÖREBRO LÄN</t>
        </is>
      </c>
      <c r="E1700" t="inlineStr">
        <is>
          <t>LEKEBERG</t>
        </is>
      </c>
      <c r="F1700" t="inlineStr">
        <is>
          <t>Sveaskog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12489-2023</t>
        </is>
      </c>
      <c r="B1701" s="1" t="n">
        <v>44999.69774305556</v>
      </c>
      <c r="C1701" s="1" t="n">
        <v>45952</v>
      </c>
      <c r="D1701" t="inlineStr">
        <is>
          <t>ÖREBRO LÄN</t>
        </is>
      </c>
      <c r="E1701" t="inlineStr">
        <is>
          <t>LJUSNARSBERG</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59495-2024</t>
        </is>
      </c>
      <c r="B1702" s="1" t="n">
        <v>45638</v>
      </c>
      <c r="C1702" s="1" t="n">
        <v>45952</v>
      </c>
      <c r="D1702" t="inlineStr">
        <is>
          <t>ÖREBRO LÄN</t>
        </is>
      </c>
      <c r="E1702" t="inlineStr">
        <is>
          <t>LJUSNARSBERG</t>
        </is>
      </c>
      <c r="G1702" t="n">
        <v>0.4</v>
      </c>
      <c r="H1702" t="n">
        <v>0</v>
      </c>
      <c r="I1702" t="n">
        <v>0</v>
      </c>
      <c r="J1702" t="n">
        <v>0</v>
      </c>
      <c r="K1702" t="n">
        <v>0</v>
      </c>
      <c r="L1702" t="n">
        <v>0</v>
      </c>
      <c r="M1702" t="n">
        <v>0</v>
      </c>
      <c r="N1702" t="n">
        <v>0</v>
      </c>
      <c r="O1702" t="n">
        <v>0</v>
      </c>
      <c r="P1702" t="n">
        <v>0</v>
      </c>
      <c r="Q1702" t="n">
        <v>0</v>
      </c>
      <c r="R1702" s="2" t="inlineStr"/>
    </row>
    <row r="1703" ht="15" customHeight="1">
      <c r="A1703" t="inlineStr">
        <is>
          <t>A 9585-2025</t>
        </is>
      </c>
      <c r="B1703" s="1" t="n">
        <v>45715.63409722222</v>
      </c>
      <c r="C1703" s="1" t="n">
        <v>45952</v>
      </c>
      <c r="D1703" t="inlineStr">
        <is>
          <t>ÖREBRO LÄN</t>
        </is>
      </c>
      <c r="E1703" t="inlineStr">
        <is>
          <t>ÖREBRO</t>
        </is>
      </c>
      <c r="G1703" t="n">
        <v>3.4</v>
      </c>
      <c r="H1703" t="n">
        <v>0</v>
      </c>
      <c r="I1703" t="n">
        <v>0</v>
      </c>
      <c r="J1703" t="n">
        <v>0</v>
      </c>
      <c r="K1703" t="n">
        <v>0</v>
      </c>
      <c r="L1703" t="n">
        <v>0</v>
      </c>
      <c r="M1703" t="n">
        <v>0</v>
      </c>
      <c r="N1703" t="n">
        <v>0</v>
      </c>
      <c r="O1703" t="n">
        <v>0</v>
      </c>
      <c r="P1703" t="n">
        <v>0</v>
      </c>
      <c r="Q1703" t="n">
        <v>0</v>
      </c>
      <c r="R1703" s="2" t="inlineStr"/>
    </row>
    <row r="1704" ht="15" customHeight="1">
      <c r="A1704" t="inlineStr">
        <is>
          <t>A 16957-2025</t>
        </is>
      </c>
      <c r="B1704" s="1" t="n">
        <v>45755.44732638889</v>
      </c>
      <c r="C1704" s="1" t="n">
        <v>45952</v>
      </c>
      <c r="D1704" t="inlineStr">
        <is>
          <t>ÖREBRO LÄN</t>
        </is>
      </c>
      <c r="E1704" t="inlineStr">
        <is>
          <t>NORA</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30015-2023</t>
        </is>
      </c>
      <c r="B1705" s="1" t="n">
        <v>45109</v>
      </c>
      <c r="C1705" s="1" t="n">
        <v>45952</v>
      </c>
      <c r="D1705" t="inlineStr">
        <is>
          <t>ÖREBRO LÄN</t>
        </is>
      </c>
      <c r="E1705" t="inlineStr">
        <is>
          <t>ÖREBRO</t>
        </is>
      </c>
      <c r="G1705" t="n">
        <v>8.800000000000001</v>
      </c>
      <c r="H1705" t="n">
        <v>0</v>
      </c>
      <c r="I1705" t="n">
        <v>0</v>
      </c>
      <c r="J1705" t="n">
        <v>0</v>
      </c>
      <c r="K1705" t="n">
        <v>0</v>
      </c>
      <c r="L1705" t="n">
        <v>0</v>
      </c>
      <c r="M1705" t="n">
        <v>0</v>
      </c>
      <c r="N1705" t="n">
        <v>0</v>
      </c>
      <c r="O1705" t="n">
        <v>0</v>
      </c>
      <c r="P1705" t="n">
        <v>0</v>
      </c>
      <c r="Q1705" t="n">
        <v>0</v>
      </c>
      <c r="R1705" s="2" t="inlineStr"/>
    </row>
    <row r="1706" ht="15" customHeight="1">
      <c r="A1706" t="inlineStr">
        <is>
          <t>A 59530-2023</t>
        </is>
      </c>
      <c r="B1706" s="1" t="n">
        <v>45254.51172453703</v>
      </c>
      <c r="C1706" s="1" t="n">
        <v>45952</v>
      </c>
      <c r="D1706" t="inlineStr">
        <is>
          <t>ÖREBRO LÄN</t>
        </is>
      </c>
      <c r="E1706" t="inlineStr">
        <is>
          <t>ASKERSUND</t>
        </is>
      </c>
      <c r="G1706" t="n">
        <v>6.5</v>
      </c>
      <c r="H1706" t="n">
        <v>0</v>
      </c>
      <c r="I1706" t="n">
        <v>0</v>
      </c>
      <c r="J1706" t="n">
        <v>0</v>
      </c>
      <c r="K1706" t="n">
        <v>0</v>
      </c>
      <c r="L1706" t="n">
        <v>0</v>
      </c>
      <c r="M1706" t="n">
        <v>0</v>
      </c>
      <c r="N1706" t="n">
        <v>0</v>
      </c>
      <c r="O1706" t="n">
        <v>0</v>
      </c>
      <c r="P1706" t="n">
        <v>0</v>
      </c>
      <c r="Q1706" t="n">
        <v>0</v>
      </c>
      <c r="R1706" s="2" t="inlineStr"/>
    </row>
    <row r="1707" ht="15" customHeight="1">
      <c r="A1707" t="inlineStr">
        <is>
          <t>A 13757-2025</t>
        </is>
      </c>
      <c r="B1707" s="1" t="n">
        <v>45737.41730324074</v>
      </c>
      <c r="C1707" s="1" t="n">
        <v>45952</v>
      </c>
      <c r="D1707" t="inlineStr">
        <is>
          <t>ÖREBRO LÄN</t>
        </is>
      </c>
      <c r="E1707" t="inlineStr">
        <is>
          <t>LEKEBERG</t>
        </is>
      </c>
      <c r="F1707" t="inlineStr">
        <is>
          <t>Sveaskog</t>
        </is>
      </c>
      <c r="G1707" t="n">
        <v>12.8</v>
      </c>
      <c r="H1707" t="n">
        <v>0</v>
      </c>
      <c r="I1707" t="n">
        <v>0</v>
      </c>
      <c r="J1707" t="n">
        <v>0</v>
      </c>
      <c r="K1707" t="n">
        <v>0</v>
      </c>
      <c r="L1707" t="n">
        <v>0</v>
      </c>
      <c r="M1707" t="n">
        <v>0</v>
      </c>
      <c r="N1707" t="n">
        <v>0</v>
      </c>
      <c r="O1707" t="n">
        <v>0</v>
      </c>
      <c r="P1707" t="n">
        <v>0</v>
      </c>
      <c r="Q1707" t="n">
        <v>0</v>
      </c>
      <c r="R1707" s="2" t="inlineStr"/>
    </row>
    <row r="1708" ht="15" customHeight="1">
      <c r="A1708" t="inlineStr">
        <is>
          <t>A 3289-2025</t>
        </is>
      </c>
      <c r="B1708" s="1" t="n">
        <v>45679.62376157408</v>
      </c>
      <c r="C1708" s="1" t="n">
        <v>45952</v>
      </c>
      <c r="D1708" t="inlineStr">
        <is>
          <t>ÖREBRO LÄN</t>
        </is>
      </c>
      <c r="E1708" t="inlineStr">
        <is>
          <t>LAXÅ</t>
        </is>
      </c>
      <c r="G1708" t="n">
        <v>5.5</v>
      </c>
      <c r="H1708" t="n">
        <v>0</v>
      </c>
      <c r="I1708" t="n">
        <v>0</v>
      </c>
      <c r="J1708" t="n">
        <v>0</v>
      </c>
      <c r="K1708" t="n">
        <v>0</v>
      </c>
      <c r="L1708" t="n">
        <v>0</v>
      </c>
      <c r="M1708" t="n">
        <v>0</v>
      </c>
      <c r="N1708" t="n">
        <v>0</v>
      </c>
      <c r="O1708" t="n">
        <v>0</v>
      </c>
      <c r="P1708" t="n">
        <v>0</v>
      </c>
      <c r="Q1708" t="n">
        <v>0</v>
      </c>
      <c r="R1708" s="2" t="inlineStr"/>
    </row>
    <row r="1709" ht="15" customHeight="1">
      <c r="A1709" t="inlineStr">
        <is>
          <t>A 4603-2024</t>
        </is>
      </c>
      <c r="B1709" s="1" t="n">
        <v>45328</v>
      </c>
      <c r="C1709" s="1" t="n">
        <v>45952</v>
      </c>
      <c r="D1709" t="inlineStr">
        <is>
          <t>ÖREBRO LÄN</t>
        </is>
      </c>
      <c r="E1709" t="inlineStr">
        <is>
          <t>LINDESBERG</t>
        </is>
      </c>
      <c r="F1709" t="inlineStr">
        <is>
          <t>BillerudKorsnäs AB</t>
        </is>
      </c>
      <c r="G1709" t="n">
        <v>4.3</v>
      </c>
      <c r="H1709" t="n">
        <v>0</v>
      </c>
      <c r="I1709" t="n">
        <v>0</v>
      </c>
      <c r="J1709" t="n">
        <v>0</v>
      </c>
      <c r="K1709" t="n">
        <v>0</v>
      </c>
      <c r="L1709" t="n">
        <v>0</v>
      </c>
      <c r="M1709" t="n">
        <v>0</v>
      </c>
      <c r="N1709" t="n">
        <v>0</v>
      </c>
      <c r="O1709" t="n">
        <v>0</v>
      </c>
      <c r="P1709" t="n">
        <v>0</v>
      </c>
      <c r="Q1709" t="n">
        <v>0</v>
      </c>
      <c r="R1709" s="2" t="inlineStr"/>
    </row>
    <row r="1710" ht="15" customHeight="1">
      <c r="A1710" t="inlineStr">
        <is>
          <t>A 25229-2021</t>
        </is>
      </c>
      <c r="B1710" s="1" t="n">
        <v>44342.39703703704</v>
      </c>
      <c r="C1710" s="1" t="n">
        <v>45952</v>
      </c>
      <c r="D1710" t="inlineStr">
        <is>
          <t>ÖREBRO LÄN</t>
        </is>
      </c>
      <c r="E1710" t="inlineStr">
        <is>
          <t>LINDESBERG</t>
        </is>
      </c>
      <c r="F1710" t="inlineStr">
        <is>
          <t>Kyrkan</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61601-2024</t>
        </is>
      </c>
      <c r="B1711" s="1" t="n">
        <v>45646.63839120371</v>
      </c>
      <c r="C1711" s="1" t="n">
        <v>45952</v>
      </c>
      <c r="D1711" t="inlineStr">
        <is>
          <t>ÖREBRO LÄN</t>
        </is>
      </c>
      <c r="E1711" t="inlineStr">
        <is>
          <t>LINDESBERG</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8062-2024</t>
        </is>
      </c>
      <c r="B1712" s="1" t="n">
        <v>45351</v>
      </c>
      <c r="C1712" s="1" t="n">
        <v>45952</v>
      </c>
      <c r="D1712" t="inlineStr">
        <is>
          <t>ÖREBRO LÄN</t>
        </is>
      </c>
      <c r="E1712" t="inlineStr">
        <is>
          <t>DEGERFORS</t>
        </is>
      </c>
      <c r="F1712" t="inlineStr">
        <is>
          <t>Sveaskog</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37277-2024</t>
        </is>
      </c>
      <c r="B1713" s="1" t="n">
        <v>45540.40835648148</v>
      </c>
      <c r="C1713" s="1" t="n">
        <v>45952</v>
      </c>
      <c r="D1713" t="inlineStr">
        <is>
          <t>ÖREBRO LÄN</t>
        </is>
      </c>
      <c r="E1713" t="inlineStr">
        <is>
          <t>HALLSBERG</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1013-2024</t>
        </is>
      </c>
      <c r="B1714" s="1" t="n">
        <v>45301</v>
      </c>
      <c r="C1714" s="1" t="n">
        <v>45952</v>
      </c>
      <c r="D1714" t="inlineStr">
        <is>
          <t>ÖREBRO LÄN</t>
        </is>
      </c>
      <c r="E1714" t="inlineStr">
        <is>
          <t>ÖREBRO</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31973-2023</t>
        </is>
      </c>
      <c r="B1715" s="1" t="n">
        <v>45107</v>
      </c>
      <c r="C1715" s="1" t="n">
        <v>45952</v>
      </c>
      <c r="D1715" t="inlineStr">
        <is>
          <t>ÖREBRO LÄN</t>
        </is>
      </c>
      <c r="E1715" t="inlineStr">
        <is>
          <t>ASKERSUND</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43471-2023</t>
        </is>
      </c>
      <c r="B1716" s="1" t="n">
        <v>45184.41854166667</v>
      </c>
      <c r="C1716" s="1" t="n">
        <v>45952</v>
      </c>
      <c r="D1716" t="inlineStr">
        <is>
          <t>ÖREBRO LÄN</t>
        </is>
      </c>
      <c r="E1716" t="inlineStr">
        <is>
          <t>ASKERSUND</t>
        </is>
      </c>
      <c r="F1716" t="inlineStr">
        <is>
          <t>Sveaskog</t>
        </is>
      </c>
      <c r="G1716" t="n">
        <v>3.9</v>
      </c>
      <c r="H1716" t="n">
        <v>0</v>
      </c>
      <c r="I1716" t="n">
        <v>0</v>
      </c>
      <c r="J1716" t="n">
        <v>0</v>
      </c>
      <c r="K1716" t="n">
        <v>0</v>
      </c>
      <c r="L1716" t="n">
        <v>0</v>
      </c>
      <c r="M1716" t="n">
        <v>0</v>
      </c>
      <c r="N1716" t="n">
        <v>0</v>
      </c>
      <c r="O1716" t="n">
        <v>0</v>
      </c>
      <c r="P1716" t="n">
        <v>0</v>
      </c>
      <c r="Q1716" t="n">
        <v>0</v>
      </c>
      <c r="R1716" s="2" t="inlineStr"/>
    </row>
    <row r="1717" ht="15" customHeight="1">
      <c r="A1717" t="inlineStr">
        <is>
          <t>A 11625-2022</t>
        </is>
      </c>
      <c r="B1717" s="1" t="n">
        <v>44631</v>
      </c>
      <c r="C1717" s="1" t="n">
        <v>45952</v>
      </c>
      <c r="D1717" t="inlineStr">
        <is>
          <t>ÖREBRO LÄN</t>
        </is>
      </c>
      <c r="E1717" t="inlineStr">
        <is>
          <t>ASKERSUND</t>
        </is>
      </c>
      <c r="G1717" t="n">
        <v>9.800000000000001</v>
      </c>
      <c r="H1717" t="n">
        <v>0</v>
      </c>
      <c r="I1717" t="n">
        <v>0</v>
      </c>
      <c r="J1717" t="n">
        <v>0</v>
      </c>
      <c r="K1717" t="n">
        <v>0</v>
      </c>
      <c r="L1717" t="n">
        <v>0</v>
      </c>
      <c r="M1717" t="n">
        <v>0</v>
      </c>
      <c r="N1717" t="n">
        <v>0</v>
      </c>
      <c r="O1717" t="n">
        <v>0</v>
      </c>
      <c r="P1717" t="n">
        <v>0</v>
      </c>
      <c r="Q1717" t="n">
        <v>0</v>
      </c>
      <c r="R1717" s="2" t="inlineStr"/>
    </row>
    <row r="1718" ht="15" customHeight="1">
      <c r="A1718" t="inlineStr">
        <is>
          <t>A 6604-2024</t>
        </is>
      </c>
      <c r="B1718" s="1" t="n">
        <v>45341.56577546296</v>
      </c>
      <c r="C1718" s="1" t="n">
        <v>45952</v>
      </c>
      <c r="D1718" t="inlineStr">
        <is>
          <t>ÖREBRO LÄN</t>
        </is>
      </c>
      <c r="E1718" t="inlineStr">
        <is>
          <t>LINDESBERG</t>
        </is>
      </c>
      <c r="F1718" t="inlineStr">
        <is>
          <t>Sveaskog</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30961-2022</t>
        </is>
      </c>
      <c r="B1719" s="1" t="n">
        <v>44768</v>
      </c>
      <c r="C1719" s="1" t="n">
        <v>45952</v>
      </c>
      <c r="D1719" t="inlineStr">
        <is>
          <t>ÖREBRO LÄN</t>
        </is>
      </c>
      <c r="E1719" t="inlineStr">
        <is>
          <t>KARLSKOGA</t>
        </is>
      </c>
      <c r="F1719" t="inlineStr">
        <is>
          <t>Kommuner</t>
        </is>
      </c>
      <c r="G1719" t="n">
        <v>3.3</v>
      </c>
      <c r="H1719" t="n">
        <v>0</v>
      </c>
      <c r="I1719" t="n">
        <v>0</v>
      </c>
      <c r="J1719" t="n">
        <v>0</v>
      </c>
      <c r="K1719" t="n">
        <v>0</v>
      </c>
      <c r="L1719" t="n">
        <v>0</v>
      </c>
      <c r="M1719" t="n">
        <v>0</v>
      </c>
      <c r="N1719" t="n">
        <v>0</v>
      </c>
      <c r="O1719" t="n">
        <v>0</v>
      </c>
      <c r="P1719" t="n">
        <v>0</v>
      </c>
      <c r="Q1719" t="n">
        <v>0</v>
      </c>
      <c r="R1719" s="2" t="inlineStr"/>
    </row>
    <row r="1720" ht="15" customHeight="1">
      <c r="A1720" t="inlineStr">
        <is>
          <t>A 5125-2024</t>
        </is>
      </c>
      <c r="B1720" s="1" t="n">
        <v>45330</v>
      </c>
      <c r="C1720" s="1" t="n">
        <v>45952</v>
      </c>
      <c r="D1720" t="inlineStr">
        <is>
          <t>ÖREBRO LÄN</t>
        </is>
      </c>
      <c r="E1720" t="inlineStr">
        <is>
          <t>ÖREBRO</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8074-2024</t>
        </is>
      </c>
      <c r="B1721" s="1" t="n">
        <v>45351.42106481481</v>
      </c>
      <c r="C1721" s="1" t="n">
        <v>45952</v>
      </c>
      <c r="D1721" t="inlineStr">
        <is>
          <t>ÖREBRO LÄN</t>
        </is>
      </c>
      <c r="E1721" t="inlineStr">
        <is>
          <t>DEGERFORS</t>
        </is>
      </c>
      <c r="F1721" t="inlineStr">
        <is>
          <t>Sveaskog</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626-2025</t>
        </is>
      </c>
      <c r="B1722" s="1" t="n">
        <v>45664</v>
      </c>
      <c r="C1722" s="1" t="n">
        <v>45952</v>
      </c>
      <c r="D1722" t="inlineStr">
        <is>
          <t>ÖREBRO LÄN</t>
        </is>
      </c>
      <c r="E1722" t="inlineStr">
        <is>
          <t>LINDESBERG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10825-2021</t>
        </is>
      </c>
      <c r="B1723" s="1" t="n">
        <v>44259</v>
      </c>
      <c r="C1723" s="1" t="n">
        <v>45952</v>
      </c>
      <c r="D1723" t="inlineStr">
        <is>
          <t>ÖREBRO LÄN</t>
        </is>
      </c>
      <c r="E1723" t="inlineStr">
        <is>
          <t>LINDESBERG</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47047-2022</t>
        </is>
      </c>
      <c r="B1724" s="1" t="n">
        <v>44852.39063657408</v>
      </c>
      <c r="C1724" s="1" t="n">
        <v>45952</v>
      </c>
      <c r="D1724" t="inlineStr">
        <is>
          <t>ÖREBRO LÄN</t>
        </is>
      </c>
      <c r="E1724" t="inlineStr">
        <is>
          <t>ÖREBRO</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18137-2025</t>
        </is>
      </c>
      <c r="B1725" s="1" t="n">
        <v>45761.60311342592</v>
      </c>
      <c r="C1725" s="1" t="n">
        <v>45952</v>
      </c>
      <c r="D1725" t="inlineStr">
        <is>
          <t>ÖREBRO LÄN</t>
        </is>
      </c>
      <c r="E1725" t="inlineStr">
        <is>
          <t>HALLSBERG</t>
        </is>
      </c>
      <c r="F1725" t="inlineStr">
        <is>
          <t>Sveaskog</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56561-2023</t>
        </is>
      </c>
      <c r="B1726" s="1" t="n">
        <v>45243</v>
      </c>
      <c r="C1726" s="1" t="n">
        <v>45952</v>
      </c>
      <c r="D1726" t="inlineStr">
        <is>
          <t>ÖREBRO LÄN</t>
        </is>
      </c>
      <c r="E1726" t="inlineStr">
        <is>
          <t>LINDESBERG</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13573-2025</t>
        </is>
      </c>
      <c r="B1727" s="1" t="n">
        <v>45736</v>
      </c>
      <c r="C1727" s="1" t="n">
        <v>45952</v>
      </c>
      <c r="D1727" t="inlineStr">
        <is>
          <t>ÖREBRO LÄN</t>
        </is>
      </c>
      <c r="E1727" t="inlineStr">
        <is>
          <t>LINDESBERG</t>
        </is>
      </c>
      <c r="G1727" t="n">
        <v>11.7</v>
      </c>
      <c r="H1727" t="n">
        <v>0</v>
      </c>
      <c r="I1727" t="n">
        <v>0</v>
      </c>
      <c r="J1727" t="n">
        <v>0</v>
      </c>
      <c r="K1727" t="n">
        <v>0</v>
      </c>
      <c r="L1727" t="n">
        <v>0</v>
      </c>
      <c r="M1727" t="n">
        <v>0</v>
      </c>
      <c r="N1727" t="n">
        <v>0</v>
      </c>
      <c r="O1727" t="n">
        <v>0</v>
      </c>
      <c r="P1727" t="n">
        <v>0</v>
      </c>
      <c r="Q1727" t="n">
        <v>0</v>
      </c>
      <c r="R1727" s="2" t="inlineStr"/>
    </row>
    <row r="1728" ht="15" customHeight="1">
      <c r="A1728" t="inlineStr">
        <is>
          <t>A 61750-2021</t>
        </is>
      </c>
      <c r="B1728" s="1" t="n">
        <v>44501.64055555555</v>
      </c>
      <c r="C1728" s="1" t="n">
        <v>45952</v>
      </c>
      <c r="D1728" t="inlineStr">
        <is>
          <t>ÖREBRO LÄN</t>
        </is>
      </c>
      <c r="E1728" t="inlineStr">
        <is>
          <t>DEGERFORS</t>
        </is>
      </c>
      <c r="F1728" t="inlineStr">
        <is>
          <t>Sveaskog</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12961-2023</t>
        </is>
      </c>
      <c r="B1729" s="1" t="n">
        <v>45001.80307870371</v>
      </c>
      <c r="C1729" s="1" t="n">
        <v>45952</v>
      </c>
      <c r="D1729" t="inlineStr">
        <is>
          <t>ÖREBRO LÄN</t>
        </is>
      </c>
      <c r="E1729" t="inlineStr">
        <is>
          <t>LEKEBERG</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6835-2025</t>
        </is>
      </c>
      <c r="B1730" s="1" t="n">
        <v>45700.78726851852</v>
      </c>
      <c r="C1730" s="1" t="n">
        <v>45952</v>
      </c>
      <c r="D1730" t="inlineStr">
        <is>
          <t>ÖREBRO LÄN</t>
        </is>
      </c>
      <c r="E1730" t="inlineStr">
        <is>
          <t>KARLSKOGA</t>
        </is>
      </c>
      <c r="G1730" t="n">
        <v>3</v>
      </c>
      <c r="H1730" t="n">
        <v>0</v>
      </c>
      <c r="I1730" t="n">
        <v>0</v>
      </c>
      <c r="J1730" t="n">
        <v>0</v>
      </c>
      <c r="K1730" t="n">
        <v>0</v>
      </c>
      <c r="L1730" t="n">
        <v>0</v>
      </c>
      <c r="M1730" t="n">
        <v>0</v>
      </c>
      <c r="N1730" t="n">
        <v>0</v>
      </c>
      <c r="O1730" t="n">
        <v>0</v>
      </c>
      <c r="P1730" t="n">
        <v>0</v>
      </c>
      <c r="Q1730" t="n">
        <v>0</v>
      </c>
      <c r="R1730" s="2" t="inlineStr"/>
    </row>
    <row r="1731" ht="15" customHeight="1">
      <c r="A1731" t="inlineStr">
        <is>
          <t>A 29280-2025</t>
        </is>
      </c>
      <c r="B1731" s="1" t="n">
        <v>45824</v>
      </c>
      <c r="C1731" s="1" t="n">
        <v>45952</v>
      </c>
      <c r="D1731" t="inlineStr">
        <is>
          <t>ÖREBRO LÄN</t>
        </is>
      </c>
      <c r="E1731" t="inlineStr">
        <is>
          <t>HÄLLEFORS</t>
        </is>
      </c>
      <c r="F1731" t="inlineStr">
        <is>
          <t>Bergvik skog väst AB</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8187-2021</t>
        </is>
      </c>
      <c r="B1732" s="1" t="n">
        <v>44244</v>
      </c>
      <c r="C1732" s="1" t="n">
        <v>45952</v>
      </c>
      <c r="D1732" t="inlineStr">
        <is>
          <t>ÖREBRO LÄN</t>
        </is>
      </c>
      <c r="E1732" t="inlineStr">
        <is>
          <t>ASKERSUND</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42049-2023</t>
        </is>
      </c>
      <c r="B1733" s="1" t="n">
        <v>45177</v>
      </c>
      <c r="C1733" s="1" t="n">
        <v>45952</v>
      </c>
      <c r="D1733" t="inlineStr">
        <is>
          <t>ÖREBRO LÄN</t>
        </is>
      </c>
      <c r="E1733" t="inlineStr">
        <is>
          <t>NORA</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13563-2024</t>
        </is>
      </c>
      <c r="B1734" s="1" t="n">
        <v>45388.99935185185</v>
      </c>
      <c r="C1734" s="1" t="n">
        <v>45952</v>
      </c>
      <c r="D1734" t="inlineStr">
        <is>
          <t>ÖREBRO LÄN</t>
        </is>
      </c>
      <c r="E1734" t="inlineStr">
        <is>
          <t>NORA</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42138-2024</t>
        </is>
      </c>
      <c r="B1735" s="1" t="n">
        <v>45562.41854166667</v>
      </c>
      <c r="C1735" s="1" t="n">
        <v>45952</v>
      </c>
      <c r="D1735" t="inlineStr">
        <is>
          <t>ÖREBRO LÄN</t>
        </is>
      </c>
      <c r="E1735" t="inlineStr">
        <is>
          <t>ÖREBRO</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52930-2024</t>
        </is>
      </c>
      <c r="B1736" s="1" t="n">
        <v>45610.7466087963</v>
      </c>
      <c r="C1736" s="1" t="n">
        <v>45952</v>
      </c>
      <c r="D1736" t="inlineStr">
        <is>
          <t>ÖREBRO LÄN</t>
        </is>
      </c>
      <c r="E1736" t="inlineStr">
        <is>
          <t>LINDESBERG</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41512-2024</t>
        </is>
      </c>
      <c r="B1737" s="1" t="n">
        <v>45560</v>
      </c>
      <c r="C1737" s="1" t="n">
        <v>45952</v>
      </c>
      <c r="D1737" t="inlineStr">
        <is>
          <t>ÖREBRO LÄN</t>
        </is>
      </c>
      <c r="E1737" t="inlineStr">
        <is>
          <t>LAXÅ</t>
        </is>
      </c>
      <c r="F1737" t="inlineStr">
        <is>
          <t>Sveaskog</t>
        </is>
      </c>
      <c r="G1737" t="n">
        <v>4.8</v>
      </c>
      <c r="H1737" t="n">
        <v>0</v>
      </c>
      <c r="I1737" t="n">
        <v>0</v>
      </c>
      <c r="J1737" t="n">
        <v>0</v>
      </c>
      <c r="K1737" t="n">
        <v>0</v>
      </c>
      <c r="L1737" t="n">
        <v>0</v>
      </c>
      <c r="M1737" t="n">
        <v>0</v>
      </c>
      <c r="N1737" t="n">
        <v>0</v>
      </c>
      <c r="O1737" t="n">
        <v>0</v>
      </c>
      <c r="P1737" t="n">
        <v>0</v>
      </c>
      <c r="Q1737" t="n">
        <v>0</v>
      </c>
      <c r="R1737" s="2" t="inlineStr"/>
    </row>
    <row r="1738" ht="15" customHeight="1">
      <c r="A1738" t="inlineStr">
        <is>
          <t>A 56579-2023</t>
        </is>
      </c>
      <c r="B1738" s="1" t="n">
        <v>45243.62420138889</v>
      </c>
      <c r="C1738" s="1" t="n">
        <v>45952</v>
      </c>
      <c r="D1738" t="inlineStr">
        <is>
          <t>ÖREBRO LÄN</t>
        </is>
      </c>
      <c r="E1738" t="inlineStr">
        <is>
          <t>LINDESBERG</t>
        </is>
      </c>
      <c r="F1738" t="inlineStr">
        <is>
          <t>Naturvårdsverket</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56582-2023</t>
        </is>
      </c>
      <c r="B1739" s="1" t="n">
        <v>45243</v>
      </c>
      <c r="C1739" s="1" t="n">
        <v>45952</v>
      </c>
      <c r="D1739" t="inlineStr">
        <is>
          <t>ÖREBRO LÄN</t>
        </is>
      </c>
      <c r="E1739" t="inlineStr">
        <is>
          <t>LINDESBERG</t>
        </is>
      </c>
      <c r="F1739" t="inlineStr">
        <is>
          <t>Naturvårdsverket</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8512-2025</t>
        </is>
      </c>
      <c r="B1740" s="1" t="n">
        <v>45709.54873842592</v>
      </c>
      <c r="C1740" s="1" t="n">
        <v>45952</v>
      </c>
      <c r="D1740" t="inlineStr">
        <is>
          <t>ÖREBRO LÄN</t>
        </is>
      </c>
      <c r="E1740" t="inlineStr">
        <is>
          <t>ÖREBRO</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41947-2023</t>
        </is>
      </c>
      <c r="B1741" s="1" t="n">
        <v>45177.31795138889</v>
      </c>
      <c r="C1741" s="1" t="n">
        <v>45952</v>
      </c>
      <c r="D1741" t="inlineStr">
        <is>
          <t>ÖREBRO LÄN</t>
        </is>
      </c>
      <c r="E1741" t="inlineStr">
        <is>
          <t>LINDESBERG</t>
        </is>
      </c>
      <c r="F1741" t="inlineStr">
        <is>
          <t>Kyrkan</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35378-2024</t>
        </is>
      </c>
      <c r="B1742" s="1" t="n">
        <v>45531</v>
      </c>
      <c r="C1742" s="1" t="n">
        <v>45952</v>
      </c>
      <c r="D1742" t="inlineStr">
        <is>
          <t>ÖREBRO LÄN</t>
        </is>
      </c>
      <c r="E1742" t="inlineStr">
        <is>
          <t>LJUSNARSBERG</t>
        </is>
      </c>
      <c r="F1742" t="inlineStr">
        <is>
          <t>Bergvik skog väst AB</t>
        </is>
      </c>
      <c r="G1742" t="n">
        <v>21.8</v>
      </c>
      <c r="H1742" t="n">
        <v>0</v>
      </c>
      <c r="I1742" t="n">
        <v>0</v>
      </c>
      <c r="J1742" t="n">
        <v>0</v>
      </c>
      <c r="K1742" t="n">
        <v>0</v>
      </c>
      <c r="L1742" t="n">
        <v>0</v>
      </c>
      <c r="M1742" t="n">
        <v>0</v>
      </c>
      <c r="N1742" t="n">
        <v>0</v>
      </c>
      <c r="O1742" t="n">
        <v>0</v>
      </c>
      <c r="P1742" t="n">
        <v>0</v>
      </c>
      <c r="Q1742" t="n">
        <v>0</v>
      </c>
      <c r="R1742" s="2" t="inlineStr"/>
    </row>
    <row r="1743" ht="15" customHeight="1">
      <c r="A1743" t="inlineStr">
        <is>
          <t>A 17810-2025</t>
        </is>
      </c>
      <c r="B1743" s="1" t="n">
        <v>45758.55883101852</v>
      </c>
      <c r="C1743" s="1" t="n">
        <v>45952</v>
      </c>
      <c r="D1743" t="inlineStr">
        <is>
          <t>ÖREBRO LÄN</t>
        </is>
      </c>
      <c r="E1743" t="inlineStr">
        <is>
          <t>HÄLLEFORS</t>
        </is>
      </c>
      <c r="F1743" t="inlineStr">
        <is>
          <t>Sveaskog</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4924-2021</t>
        </is>
      </c>
      <c r="B1744" s="1" t="n">
        <v>44227</v>
      </c>
      <c r="C1744" s="1" t="n">
        <v>45952</v>
      </c>
      <c r="D1744" t="inlineStr">
        <is>
          <t>ÖREBRO LÄN</t>
        </is>
      </c>
      <c r="E1744" t="inlineStr">
        <is>
          <t>LINDESBERG</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16085-2024</t>
        </is>
      </c>
      <c r="B1745" s="1" t="n">
        <v>45406.37230324074</v>
      </c>
      <c r="C1745" s="1" t="n">
        <v>45952</v>
      </c>
      <c r="D1745" t="inlineStr">
        <is>
          <t>ÖREBRO LÄN</t>
        </is>
      </c>
      <c r="E1745" t="inlineStr">
        <is>
          <t>NORA</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26101-2022</t>
        </is>
      </c>
      <c r="B1746" s="1" t="n">
        <v>44734</v>
      </c>
      <c r="C1746" s="1" t="n">
        <v>45952</v>
      </c>
      <c r="D1746" t="inlineStr">
        <is>
          <t>ÖREBRO LÄN</t>
        </is>
      </c>
      <c r="E1746" t="inlineStr">
        <is>
          <t>ÖREBRO</t>
        </is>
      </c>
      <c r="G1746" t="n">
        <v>15.8</v>
      </c>
      <c r="H1746" t="n">
        <v>0</v>
      </c>
      <c r="I1746" t="n">
        <v>0</v>
      </c>
      <c r="J1746" t="n">
        <v>0</v>
      </c>
      <c r="K1746" t="n">
        <v>0</v>
      </c>
      <c r="L1746" t="n">
        <v>0</v>
      </c>
      <c r="M1746" t="n">
        <v>0</v>
      </c>
      <c r="N1746" t="n">
        <v>0</v>
      </c>
      <c r="O1746" t="n">
        <v>0</v>
      </c>
      <c r="P1746" t="n">
        <v>0</v>
      </c>
      <c r="Q1746" t="n">
        <v>0</v>
      </c>
      <c r="R1746" s="2" t="inlineStr"/>
    </row>
    <row r="1747" ht="15" customHeight="1">
      <c r="A1747" t="inlineStr">
        <is>
          <t>A 42410-2024</t>
        </is>
      </c>
      <c r="B1747" s="1" t="n">
        <v>45565</v>
      </c>
      <c r="C1747" s="1" t="n">
        <v>45952</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37738-2024</t>
        </is>
      </c>
      <c r="B1748" s="1" t="n">
        <v>45541.66916666667</v>
      </c>
      <c r="C1748" s="1" t="n">
        <v>45952</v>
      </c>
      <c r="D1748" t="inlineStr">
        <is>
          <t>ÖREBRO LÄN</t>
        </is>
      </c>
      <c r="E1748" t="inlineStr">
        <is>
          <t>LINDESBERG</t>
        </is>
      </c>
      <c r="F1748" t="inlineStr">
        <is>
          <t>Sveaskog</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53406-2024</t>
        </is>
      </c>
      <c r="B1749" s="1" t="n">
        <v>45614.49704861111</v>
      </c>
      <c r="C1749" s="1" t="n">
        <v>45952</v>
      </c>
      <c r="D1749" t="inlineStr">
        <is>
          <t>ÖREBRO LÄN</t>
        </is>
      </c>
      <c r="E1749" t="inlineStr">
        <is>
          <t>DEGERFORS</t>
        </is>
      </c>
      <c r="F1749" t="inlineStr">
        <is>
          <t>Sveaskog</t>
        </is>
      </c>
      <c r="G1749" t="n">
        <v>4.5</v>
      </c>
      <c r="H1749" t="n">
        <v>0</v>
      </c>
      <c r="I1749" t="n">
        <v>0</v>
      </c>
      <c r="J1749" t="n">
        <v>0</v>
      </c>
      <c r="K1749" t="n">
        <v>0</v>
      </c>
      <c r="L1749" t="n">
        <v>0</v>
      </c>
      <c r="M1749" t="n">
        <v>0</v>
      </c>
      <c r="N1749" t="n">
        <v>0</v>
      </c>
      <c r="O1749" t="n">
        <v>0</v>
      </c>
      <c r="P1749" t="n">
        <v>0</v>
      </c>
      <c r="Q1749" t="n">
        <v>0</v>
      </c>
      <c r="R1749" s="2" t="inlineStr"/>
    </row>
    <row r="1750" ht="15" customHeight="1">
      <c r="A1750" t="inlineStr">
        <is>
          <t>A 2095-2025</t>
        </is>
      </c>
      <c r="B1750" s="1" t="n">
        <v>45672</v>
      </c>
      <c r="C1750" s="1" t="n">
        <v>45952</v>
      </c>
      <c r="D1750" t="inlineStr">
        <is>
          <t>ÖREBRO LÄN</t>
        </is>
      </c>
      <c r="E1750" t="inlineStr">
        <is>
          <t>ÖREBRO</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8177-2021</t>
        </is>
      </c>
      <c r="B1751" s="1" t="n">
        <v>44244</v>
      </c>
      <c r="C1751" s="1" t="n">
        <v>45952</v>
      </c>
      <c r="D1751" t="inlineStr">
        <is>
          <t>ÖREBRO LÄN</t>
        </is>
      </c>
      <c r="E1751" t="inlineStr">
        <is>
          <t>ASKERSUND</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18382-2023</t>
        </is>
      </c>
      <c r="B1752" s="1" t="n">
        <v>45042.27751157407</v>
      </c>
      <c r="C1752" s="1" t="n">
        <v>45952</v>
      </c>
      <c r="D1752" t="inlineStr">
        <is>
          <t>ÖREBRO LÄN</t>
        </is>
      </c>
      <c r="E1752" t="inlineStr">
        <is>
          <t>LEKEBERG</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52072-2024</t>
        </is>
      </c>
      <c r="B1753" s="1" t="n">
        <v>45608</v>
      </c>
      <c r="C1753" s="1" t="n">
        <v>45952</v>
      </c>
      <c r="D1753" t="inlineStr">
        <is>
          <t>ÖREBRO LÄN</t>
        </is>
      </c>
      <c r="E1753" t="inlineStr">
        <is>
          <t>ASKERSUND</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9140-2025</t>
        </is>
      </c>
      <c r="B1754" s="1" t="n">
        <v>45714.31533564815</v>
      </c>
      <c r="C1754" s="1" t="n">
        <v>45952</v>
      </c>
      <c r="D1754" t="inlineStr">
        <is>
          <t>ÖREBRO LÄN</t>
        </is>
      </c>
      <c r="E1754" t="inlineStr">
        <is>
          <t>LINDESBERG</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4100-2025</t>
        </is>
      </c>
      <c r="B1755" s="1" t="n">
        <v>45684.68512731481</v>
      </c>
      <c r="C1755" s="1" t="n">
        <v>45952</v>
      </c>
      <c r="D1755" t="inlineStr">
        <is>
          <t>ÖREBRO LÄN</t>
        </is>
      </c>
      <c r="E1755" t="inlineStr">
        <is>
          <t>KUMLA</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58155-2021</t>
        </is>
      </c>
      <c r="B1756" s="1" t="n">
        <v>44487</v>
      </c>
      <c r="C1756" s="1" t="n">
        <v>45952</v>
      </c>
      <c r="D1756" t="inlineStr">
        <is>
          <t>ÖREBRO LÄN</t>
        </is>
      </c>
      <c r="E1756" t="inlineStr">
        <is>
          <t>ASKERSUND</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46810-2025</t>
        </is>
      </c>
      <c r="B1757" s="1" t="n">
        <v>45926.69480324074</v>
      </c>
      <c r="C1757" s="1" t="n">
        <v>45952</v>
      </c>
      <c r="D1757" t="inlineStr">
        <is>
          <t>ÖREBRO LÄN</t>
        </is>
      </c>
      <c r="E1757" t="inlineStr">
        <is>
          <t>LEKEBERG</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7256-2023</t>
        </is>
      </c>
      <c r="B1758" s="1" t="n">
        <v>44970.63328703704</v>
      </c>
      <c r="C1758" s="1" t="n">
        <v>45952</v>
      </c>
      <c r="D1758" t="inlineStr">
        <is>
          <t>ÖREBRO LÄN</t>
        </is>
      </c>
      <c r="E1758" t="inlineStr">
        <is>
          <t>ASKERSUND</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63686-2023</t>
        </is>
      </c>
      <c r="B1759" s="1" t="n">
        <v>45274</v>
      </c>
      <c r="C1759" s="1" t="n">
        <v>45952</v>
      </c>
      <c r="D1759" t="inlineStr">
        <is>
          <t>ÖREBRO LÄN</t>
        </is>
      </c>
      <c r="E1759" t="inlineStr">
        <is>
          <t>LINDESBERG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38193-2024</t>
        </is>
      </c>
      <c r="B1760" s="1" t="n">
        <v>45545.49151620371</v>
      </c>
      <c r="C1760" s="1" t="n">
        <v>45952</v>
      </c>
      <c r="D1760" t="inlineStr">
        <is>
          <t>ÖREBRO LÄN</t>
        </is>
      </c>
      <c r="E1760" t="inlineStr">
        <is>
          <t>KUMLA</t>
        </is>
      </c>
      <c r="G1760" t="n">
        <v>0.1</v>
      </c>
      <c r="H1760" t="n">
        <v>0</v>
      </c>
      <c r="I1760" t="n">
        <v>0</v>
      </c>
      <c r="J1760" t="n">
        <v>0</v>
      </c>
      <c r="K1760" t="n">
        <v>0</v>
      </c>
      <c r="L1760" t="n">
        <v>0</v>
      </c>
      <c r="M1760" t="n">
        <v>0</v>
      </c>
      <c r="N1760" t="n">
        <v>0</v>
      </c>
      <c r="O1760" t="n">
        <v>0</v>
      </c>
      <c r="P1760" t="n">
        <v>0</v>
      </c>
      <c r="Q1760" t="n">
        <v>0</v>
      </c>
      <c r="R1760" s="2" t="inlineStr"/>
    </row>
    <row r="1761" ht="15" customHeight="1">
      <c r="A1761" t="inlineStr">
        <is>
          <t>A 10515-2023</t>
        </is>
      </c>
      <c r="B1761" s="1" t="n">
        <v>44987.7978125</v>
      </c>
      <c r="C1761" s="1" t="n">
        <v>45952</v>
      </c>
      <c r="D1761" t="inlineStr">
        <is>
          <t>ÖREBRO LÄN</t>
        </is>
      </c>
      <c r="E1761" t="inlineStr">
        <is>
          <t>KARLSKOGA</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43796-2021</t>
        </is>
      </c>
      <c r="B1762" s="1" t="n">
        <v>44433</v>
      </c>
      <c r="C1762" s="1" t="n">
        <v>45952</v>
      </c>
      <c r="D1762" t="inlineStr">
        <is>
          <t>ÖREBRO LÄN</t>
        </is>
      </c>
      <c r="E1762" t="inlineStr">
        <is>
          <t>LAXÅ</t>
        </is>
      </c>
      <c r="F1762" t="inlineStr">
        <is>
          <t>Sveaskog</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46823-2024</t>
        </is>
      </c>
      <c r="B1763" s="1" t="n">
        <v>45583.57623842593</v>
      </c>
      <c r="C1763" s="1" t="n">
        <v>45952</v>
      </c>
      <c r="D1763" t="inlineStr">
        <is>
          <t>ÖREBRO LÄN</t>
        </is>
      </c>
      <c r="E1763" t="inlineStr">
        <is>
          <t>LJUSNARSBERG</t>
        </is>
      </c>
      <c r="F1763" t="inlineStr">
        <is>
          <t>Bergvik skog väst AB</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60081-2023</t>
        </is>
      </c>
      <c r="B1764" s="1" t="n">
        <v>45258</v>
      </c>
      <c r="C1764" s="1" t="n">
        <v>45952</v>
      </c>
      <c r="D1764" t="inlineStr">
        <is>
          <t>ÖREBRO LÄN</t>
        </is>
      </c>
      <c r="E1764" t="inlineStr">
        <is>
          <t>HALLSBERG</t>
        </is>
      </c>
      <c r="F1764" t="inlineStr">
        <is>
          <t>Sveaskog</t>
        </is>
      </c>
      <c r="G1764" t="n">
        <v>4.4</v>
      </c>
      <c r="H1764" t="n">
        <v>0</v>
      </c>
      <c r="I1764" t="n">
        <v>0</v>
      </c>
      <c r="J1764" t="n">
        <v>0</v>
      </c>
      <c r="K1764" t="n">
        <v>0</v>
      </c>
      <c r="L1764" t="n">
        <v>0</v>
      </c>
      <c r="M1764" t="n">
        <v>0</v>
      </c>
      <c r="N1764" t="n">
        <v>0</v>
      </c>
      <c r="O1764" t="n">
        <v>0</v>
      </c>
      <c r="P1764" t="n">
        <v>0</v>
      </c>
      <c r="Q1764" t="n">
        <v>0</v>
      </c>
      <c r="R1764" s="2" t="inlineStr"/>
    </row>
    <row r="1765" ht="15" customHeight="1">
      <c r="A1765" t="inlineStr">
        <is>
          <t>A 71206-2021</t>
        </is>
      </c>
      <c r="B1765" s="1" t="n">
        <v>44539</v>
      </c>
      <c r="C1765" s="1" t="n">
        <v>45952</v>
      </c>
      <c r="D1765" t="inlineStr">
        <is>
          <t>ÖREBRO LÄN</t>
        </is>
      </c>
      <c r="E1765" t="inlineStr">
        <is>
          <t>ÖREBRO</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17933-2024</t>
        </is>
      </c>
      <c r="B1766" s="1" t="n">
        <v>45419.61329861111</v>
      </c>
      <c r="C1766" s="1" t="n">
        <v>45952</v>
      </c>
      <c r="D1766" t="inlineStr">
        <is>
          <t>ÖREBRO LÄN</t>
        </is>
      </c>
      <c r="E1766" t="inlineStr">
        <is>
          <t>LJUSNARSBERG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64365-2023</t>
        </is>
      </c>
      <c r="B1767" s="1" t="n">
        <v>45280</v>
      </c>
      <c r="C1767" s="1" t="n">
        <v>45952</v>
      </c>
      <c r="D1767" t="inlineStr">
        <is>
          <t>ÖREBRO LÄN</t>
        </is>
      </c>
      <c r="E1767" t="inlineStr">
        <is>
          <t>LINDESBERG</t>
        </is>
      </c>
      <c r="F1767" t="inlineStr">
        <is>
          <t>Kyrkan</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50893-2024</t>
        </is>
      </c>
      <c r="B1768" s="1" t="n">
        <v>45602.67616898148</v>
      </c>
      <c r="C1768" s="1" t="n">
        <v>45952</v>
      </c>
      <c r="D1768" t="inlineStr">
        <is>
          <t>ÖREBRO LÄN</t>
        </is>
      </c>
      <c r="E1768" t="inlineStr">
        <is>
          <t>HALLSBERG</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41676-2021</t>
        </is>
      </c>
      <c r="B1769" s="1" t="n">
        <v>44425.50175925926</v>
      </c>
      <c r="C1769" s="1" t="n">
        <v>45952</v>
      </c>
      <c r="D1769" t="inlineStr">
        <is>
          <t>ÖREBRO LÄN</t>
        </is>
      </c>
      <c r="E1769" t="inlineStr">
        <is>
          <t>NORA</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14715-2024</t>
        </is>
      </c>
      <c r="B1770" s="1" t="n">
        <v>45397.5500462963</v>
      </c>
      <c r="C1770" s="1" t="n">
        <v>45952</v>
      </c>
      <c r="D1770" t="inlineStr">
        <is>
          <t>ÖREBRO LÄN</t>
        </is>
      </c>
      <c r="E1770" t="inlineStr">
        <is>
          <t>ÖREBRO</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52192-2024</t>
        </is>
      </c>
      <c r="B1771" s="1" t="n">
        <v>45608.57258101852</v>
      </c>
      <c r="C1771" s="1" t="n">
        <v>45952</v>
      </c>
      <c r="D1771" t="inlineStr">
        <is>
          <t>ÖREBRO LÄN</t>
        </is>
      </c>
      <c r="E1771" t="inlineStr">
        <is>
          <t>KUMLA</t>
        </is>
      </c>
      <c r="G1771" t="n">
        <v>14.7</v>
      </c>
      <c r="H1771" t="n">
        <v>0</v>
      </c>
      <c r="I1771" t="n">
        <v>0</v>
      </c>
      <c r="J1771" t="n">
        <v>0</v>
      </c>
      <c r="K1771" t="n">
        <v>0</v>
      </c>
      <c r="L1771" t="n">
        <v>0</v>
      </c>
      <c r="M1771" t="n">
        <v>0</v>
      </c>
      <c r="N1771" t="n">
        <v>0</v>
      </c>
      <c r="O1771" t="n">
        <v>0</v>
      </c>
      <c r="P1771" t="n">
        <v>0</v>
      </c>
      <c r="Q1771" t="n">
        <v>0</v>
      </c>
      <c r="R1771" s="2" t="inlineStr"/>
    </row>
    <row r="1772" ht="15" customHeight="1">
      <c r="A1772" t="inlineStr">
        <is>
          <t>A 34161-2021</t>
        </is>
      </c>
      <c r="B1772" s="1" t="n">
        <v>44379.489375</v>
      </c>
      <c r="C1772" s="1" t="n">
        <v>45952</v>
      </c>
      <c r="D1772" t="inlineStr">
        <is>
          <t>ÖREBRO LÄN</t>
        </is>
      </c>
      <c r="E1772" t="inlineStr">
        <is>
          <t>LAXÅ</t>
        </is>
      </c>
      <c r="F1772" t="inlineStr">
        <is>
          <t>Sveaskog</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15933-2025</t>
        </is>
      </c>
      <c r="B1773" s="1" t="n">
        <v>45749.47251157407</v>
      </c>
      <c r="C1773" s="1" t="n">
        <v>45952</v>
      </c>
      <c r="D1773" t="inlineStr">
        <is>
          <t>ÖREBRO LÄN</t>
        </is>
      </c>
      <c r="E1773" t="inlineStr">
        <is>
          <t>LINDESBERG</t>
        </is>
      </c>
      <c r="G1773" t="n">
        <v>6.1</v>
      </c>
      <c r="H1773" t="n">
        <v>0</v>
      </c>
      <c r="I1773" t="n">
        <v>0</v>
      </c>
      <c r="J1773" t="n">
        <v>0</v>
      </c>
      <c r="K1773" t="n">
        <v>0</v>
      </c>
      <c r="L1773" t="n">
        <v>0</v>
      </c>
      <c r="M1773" t="n">
        <v>0</v>
      </c>
      <c r="N1773" t="n">
        <v>0</v>
      </c>
      <c r="O1773" t="n">
        <v>0</v>
      </c>
      <c r="P1773" t="n">
        <v>0</v>
      </c>
      <c r="Q1773" t="n">
        <v>0</v>
      </c>
      <c r="R1773" s="2" t="inlineStr"/>
    </row>
    <row r="1774" ht="15" customHeight="1">
      <c r="A1774" t="inlineStr">
        <is>
          <t>A 56395-2024</t>
        </is>
      </c>
      <c r="B1774" s="1" t="n">
        <v>45625.34810185185</v>
      </c>
      <c r="C1774" s="1" t="n">
        <v>45952</v>
      </c>
      <c r="D1774" t="inlineStr">
        <is>
          <t>ÖREBRO LÄN</t>
        </is>
      </c>
      <c r="E1774" t="inlineStr">
        <is>
          <t>ASKERSUND</t>
        </is>
      </c>
      <c r="F1774" t="inlineStr">
        <is>
          <t>Sveaskog</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46146-2022</t>
        </is>
      </c>
      <c r="B1775" s="1" t="n">
        <v>44847.4584375</v>
      </c>
      <c r="C1775" s="1" t="n">
        <v>45952</v>
      </c>
      <c r="D1775" t="inlineStr">
        <is>
          <t>ÖREBRO LÄN</t>
        </is>
      </c>
      <c r="E1775" t="inlineStr">
        <is>
          <t>LJUSNARSBERG</t>
        </is>
      </c>
      <c r="F1775" t="inlineStr">
        <is>
          <t>Bergvik skog väst AB</t>
        </is>
      </c>
      <c r="G1775" t="n">
        <v>5.7</v>
      </c>
      <c r="H1775" t="n">
        <v>0</v>
      </c>
      <c r="I1775" t="n">
        <v>0</v>
      </c>
      <c r="J1775" t="n">
        <v>0</v>
      </c>
      <c r="K1775" t="n">
        <v>0</v>
      </c>
      <c r="L1775" t="n">
        <v>0</v>
      </c>
      <c r="M1775" t="n">
        <v>0</v>
      </c>
      <c r="N1775" t="n">
        <v>0</v>
      </c>
      <c r="O1775" t="n">
        <v>0</v>
      </c>
      <c r="P1775" t="n">
        <v>0</v>
      </c>
      <c r="Q1775" t="n">
        <v>0</v>
      </c>
      <c r="R1775" s="2" t="inlineStr"/>
    </row>
    <row r="1776" ht="15" customHeight="1">
      <c r="A1776" t="inlineStr">
        <is>
          <t>A 62109-2024</t>
        </is>
      </c>
      <c r="B1776" s="1" t="n">
        <v>45656</v>
      </c>
      <c r="C1776" s="1" t="n">
        <v>45952</v>
      </c>
      <c r="D1776" t="inlineStr">
        <is>
          <t>ÖREBRO LÄN</t>
        </is>
      </c>
      <c r="E1776" t="inlineStr">
        <is>
          <t>ASKERSUND</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11139-2023</t>
        </is>
      </c>
      <c r="B1777" s="1" t="n">
        <v>44987</v>
      </c>
      <c r="C1777" s="1" t="n">
        <v>45952</v>
      </c>
      <c r="D1777" t="inlineStr">
        <is>
          <t>ÖREBRO LÄN</t>
        </is>
      </c>
      <c r="E1777" t="inlineStr">
        <is>
          <t>LAXÅ</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67052-2021</t>
        </is>
      </c>
      <c r="B1778" s="1" t="n">
        <v>44522</v>
      </c>
      <c r="C1778" s="1" t="n">
        <v>45952</v>
      </c>
      <c r="D1778" t="inlineStr">
        <is>
          <t>ÖREBRO LÄN</t>
        </is>
      </c>
      <c r="E1778" t="inlineStr">
        <is>
          <t>LAXÅ</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8139-2023</t>
        </is>
      </c>
      <c r="B1779" s="1" t="n">
        <v>44970</v>
      </c>
      <c r="C1779" s="1" t="n">
        <v>45952</v>
      </c>
      <c r="D1779" t="inlineStr">
        <is>
          <t>ÖREBRO LÄN</t>
        </is>
      </c>
      <c r="E1779" t="inlineStr">
        <is>
          <t>LINDESBERG</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16169-2025</t>
        </is>
      </c>
      <c r="B1780" s="1" t="n">
        <v>45750</v>
      </c>
      <c r="C1780" s="1" t="n">
        <v>45952</v>
      </c>
      <c r="D1780" t="inlineStr">
        <is>
          <t>ÖREBRO LÄN</t>
        </is>
      </c>
      <c r="E1780" t="inlineStr">
        <is>
          <t>HÄLLEFORS</t>
        </is>
      </c>
      <c r="F1780" t="inlineStr">
        <is>
          <t>Kyrkan</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52180-2024</t>
        </is>
      </c>
      <c r="B1781" s="1" t="n">
        <v>45608.56115740741</v>
      </c>
      <c r="C1781" s="1" t="n">
        <v>45952</v>
      </c>
      <c r="D1781" t="inlineStr">
        <is>
          <t>ÖREBRO LÄN</t>
        </is>
      </c>
      <c r="E1781" t="inlineStr">
        <is>
          <t>KUMLA</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23418-2024</t>
        </is>
      </c>
      <c r="B1782" s="1" t="n">
        <v>45453.59858796297</v>
      </c>
      <c r="C1782" s="1" t="n">
        <v>45952</v>
      </c>
      <c r="D1782" t="inlineStr">
        <is>
          <t>ÖREBRO LÄN</t>
        </is>
      </c>
      <c r="E1782" t="inlineStr">
        <is>
          <t>ASKERSUND</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23420-2024</t>
        </is>
      </c>
      <c r="B1783" s="1" t="n">
        <v>45453.6003587963</v>
      </c>
      <c r="C1783" s="1" t="n">
        <v>45952</v>
      </c>
      <c r="D1783" t="inlineStr">
        <is>
          <t>ÖREBRO LÄN</t>
        </is>
      </c>
      <c r="E1783" t="inlineStr">
        <is>
          <t>ASKERSUND</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58145-2024</t>
        </is>
      </c>
      <c r="B1784" s="1" t="n">
        <v>45632.43230324074</v>
      </c>
      <c r="C1784" s="1" t="n">
        <v>45952</v>
      </c>
      <c r="D1784" t="inlineStr">
        <is>
          <t>ÖREBRO LÄN</t>
        </is>
      </c>
      <c r="E1784" t="inlineStr">
        <is>
          <t>ÖREBRO</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25808-2022</t>
        </is>
      </c>
      <c r="B1785" s="1" t="n">
        <v>44733</v>
      </c>
      <c r="C1785" s="1" t="n">
        <v>45952</v>
      </c>
      <c r="D1785" t="inlineStr">
        <is>
          <t>ÖREBRO LÄN</t>
        </is>
      </c>
      <c r="E1785" t="inlineStr">
        <is>
          <t>ASKERSUND</t>
        </is>
      </c>
      <c r="F1785" t="inlineStr">
        <is>
          <t>Sveaskog</t>
        </is>
      </c>
      <c r="G1785" t="n">
        <v>2.9</v>
      </c>
      <c r="H1785" t="n">
        <v>0</v>
      </c>
      <c r="I1785" t="n">
        <v>0</v>
      </c>
      <c r="J1785" t="n">
        <v>0</v>
      </c>
      <c r="K1785" t="n">
        <v>0</v>
      </c>
      <c r="L1785" t="n">
        <v>0</v>
      </c>
      <c r="M1785" t="n">
        <v>0</v>
      </c>
      <c r="N1785" t="n">
        <v>0</v>
      </c>
      <c r="O1785" t="n">
        <v>0</v>
      </c>
      <c r="P1785" t="n">
        <v>0</v>
      </c>
      <c r="Q1785" t="n">
        <v>0</v>
      </c>
      <c r="R1785" s="2" t="inlineStr"/>
    </row>
    <row r="1786" ht="15" customHeight="1">
      <c r="A1786" t="inlineStr">
        <is>
          <t>A 8530-2025</t>
        </is>
      </c>
      <c r="B1786" s="1" t="n">
        <v>45709</v>
      </c>
      <c r="C1786" s="1" t="n">
        <v>45952</v>
      </c>
      <c r="D1786" t="inlineStr">
        <is>
          <t>ÖREBRO LÄN</t>
        </is>
      </c>
      <c r="E1786" t="inlineStr">
        <is>
          <t>LAXÅ</t>
        </is>
      </c>
      <c r="F1786" t="inlineStr">
        <is>
          <t>Sveaskog</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25805-2024</t>
        </is>
      </c>
      <c r="B1787" s="1" t="n">
        <v>45467.36495370371</v>
      </c>
      <c r="C1787" s="1" t="n">
        <v>45952</v>
      </c>
      <c r="D1787" t="inlineStr">
        <is>
          <t>ÖREBRO LÄN</t>
        </is>
      </c>
      <c r="E1787" t="inlineStr">
        <is>
          <t>HALLSBERG</t>
        </is>
      </c>
      <c r="F1787" t="inlineStr">
        <is>
          <t>Allmännings- och besparingsskogar</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5228-2023</t>
        </is>
      </c>
      <c r="B1788" s="1" t="n">
        <v>44959</v>
      </c>
      <c r="C1788" s="1" t="n">
        <v>45952</v>
      </c>
      <c r="D1788" t="inlineStr">
        <is>
          <t>ÖREBRO LÄN</t>
        </is>
      </c>
      <c r="E1788" t="inlineStr">
        <is>
          <t>ASKERSUND</t>
        </is>
      </c>
      <c r="G1788" t="n">
        <v>7.7</v>
      </c>
      <c r="H1788" t="n">
        <v>0</v>
      </c>
      <c r="I1788" t="n">
        <v>0</v>
      </c>
      <c r="J1788" t="n">
        <v>0</v>
      </c>
      <c r="K1788" t="n">
        <v>0</v>
      </c>
      <c r="L1788" t="n">
        <v>0</v>
      </c>
      <c r="M1788" t="n">
        <v>0</v>
      </c>
      <c r="N1788" t="n">
        <v>0</v>
      </c>
      <c r="O1788" t="n">
        <v>0</v>
      </c>
      <c r="P1788" t="n">
        <v>0</v>
      </c>
      <c r="Q1788" t="n">
        <v>0</v>
      </c>
      <c r="R1788" s="2" t="inlineStr"/>
    </row>
    <row r="1789" ht="15" customHeight="1">
      <c r="A1789" t="inlineStr">
        <is>
          <t>A 48140-2024</t>
        </is>
      </c>
      <c r="B1789" s="1" t="n">
        <v>45589.66474537037</v>
      </c>
      <c r="C1789" s="1" t="n">
        <v>45952</v>
      </c>
      <c r="D1789" t="inlineStr">
        <is>
          <t>ÖREBRO LÄN</t>
        </is>
      </c>
      <c r="E1789" t="inlineStr">
        <is>
          <t>ÖREBRO</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62968-2023</t>
        </is>
      </c>
      <c r="B1790" s="1" t="n">
        <v>45272.57385416667</v>
      </c>
      <c r="C1790" s="1" t="n">
        <v>45952</v>
      </c>
      <c r="D1790" t="inlineStr">
        <is>
          <t>ÖREBRO LÄN</t>
        </is>
      </c>
      <c r="E1790" t="inlineStr">
        <is>
          <t>LINDESBERG</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3728-2025</t>
        </is>
      </c>
      <c r="B1791" s="1" t="n">
        <v>45681</v>
      </c>
      <c r="C1791" s="1" t="n">
        <v>45952</v>
      </c>
      <c r="D1791" t="inlineStr">
        <is>
          <t>ÖREBRO LÄN</t>
        </is>
      </c>
      <c r="E1791" t="inlineStr">
        <is>
          <t>ASKERSUND</t>
        </is>
      </c>
      <c r="G1791" t="n">
        <v>3.1</v>
      </c>
      <c r="H1791" t="n">
        <v>0</v>
      </c>
      <c r="I1791" t="n">
        <v>0</v>
      </c>
      <c r="J1791" t="n">
        <v>0</v>
      </c>
      <c r="K1791" t="n">
        <v>0</v>
      </c>
      <c r="L1791" t="n">
        <v>0</v>
      </c>
      <c r="M1791" t="n">
        <v>0</v>
      </c>
      <c r="N1791" t="n">
        <v>0</v>
      </c>
      <c r="O1791" t="n">
        <v>0</v>
      </c>
      <c r="P1791" t="n">
        <v>0</v>
      </c>
      <c r="Q1791" t="n">
        <v>0</v>
      </c>
      <c r="R1791" s="2" t="inlineStr"/>
    </row>
    <row r="1792" ht="15" customHeight="1">
      <c r="A1792" t="inlineStr">
        <is>
          <t>A 44976-2021</t>
        </is>
      </c>
      <c r="B1792" s="1" t="n">
        <v>44438</v>
      </c>
      <c r="C1792" s="1" t="n">
        <v>45952</v>
      </c>
      <c r="D1792" t="inlineStr">
        <is>
          <t>ÖREBRO LÄN</t>
        </is>
      </c>
      <c r="E1792" t="inlineStr">
        <is>
          <t>ASKERSUND</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17428-2025</t>
        </is>
      </c>
      <c r="B1793" s="1" t="n">
        <v>45757.4027199074</v>
      </c>
      <c r="C1793" s="1" t="n">
        <v>45952</v>
      </c>
      <c r="D1793" t="inlineStr">
        <is>
          <t>ÖREBRO LÄN</t>
        </is>
      </c>
      <c r="E1793" t="inlineStr">
        <is>
          <t>LJUSNARSBERG</t>
        </is>
      </c>
      <c r="G1793" t="n">
        <v>4.6</v>
      </c>
      <c r="H1793" t="n">
        <v>0</v>
      </c>
      <c r="I1793" t="n">
        <v>0</v>
      </c>
      <c r="J1793" t="n">
        <v>0</v>
      </c>
      <c r="K1793" t="n">
        <v>0</v>
      </c>
      <c r="L1793" t="n">
        <v>0</v>
      </c>
      <c r="M1793" t="n">
        <v>0</v>
      </c>
      <c r="N1793" t="n">
        <v>0</v>
      </c>
      <c r="O1793" t="n">
        <v>0</v>
      </c>
      <c r="P1793" t="n">
        <v>0</v>
      </c>
      <c r="Q1793" t="n">
        <v>0</v>
      </c>
      <c r="R1793" s="2" t="inlineStr"/>
    </row>
    <row r="1794" ht="15" customHeight="1">
      <c r="A1794" t="inlineStr">
        <is>
          <t>A 41703-2024</t>
        </is>
      </c>
      <c r="B1794" s="1" t="n">
        <v>45560</v>
      </c>
      <c r="C1794" s="1" t="n">
        <v>45952</v>
      </c>
      <c r="D1794" t="inlineStr">
        <is>
          <t>ÖREBRO LÄN</t>
        </is>
      </c>
      <c r="E1794" t="inlineStr">
        <is>
          <t>ÖREBRO</t>
        </is>
      </c>
      <c r="G1794" t="n">
        <v>6.4</v>
      </c>
      <c r="H1794" t="n">
        <v>0</v>
      </c>
      <c r="I1794" t="n">
        <v>0</v>
      </c>
      <c r="J1794" t="n">
        <v>0</v>
      </c>
      <c r="K1794" t="n">
        <v>0</v>
      </c>
      <c r="L1794" t="n">
        <v>0</v>
      </c>
      <c r="M1794" t="n">
        <v>0</v>
      </c>
      <c r="N1794" t="n">
        <v>0</v>
      </c>
      <c r="O1794" t="n">
        <v>0</v>
      </c>
      <c r="P1794" t="n">
        <v>0</v>
      </c>
      <c r="Q1794" t="n">
        <v>0</v>
      </c>
      <c r="R1794" s="2" t="inlineStr"/>
    </row>
    <row r="1795" ht="15" customHeight="1">
      <c r="A1795" t="inlineStr">
        <is>
          <t>A 58598-2022</t>
        </is>
      </c>
      <c r="B1795" s="1" t="n">
        <v>44902</v>
      </c>
      <c r="C1795" s="1" t="n">
        <v>45952</v>
      </c>
      <c r="D1795" t="inlineStr">
        <is>
          <t>ÖREBRO LÄN</t>
        </is>
      </c>
      <c r="E1795" t="inlineStr">
        <is>
          <t>ÖREBRO</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56135-2022</t>
        </is>
      </c>
      <c r="B1796" s="1" t="n">
        <v>44886</v>
      </c>
      <c r="C1796" s="1" t="n">
        <v>45952</v>
      </c>
      <c r="D1796" t="inlineStr">
        <is>
          <t>ÖREBRO LÄN</t>
        </is>
      </c>
      <c r="E1796" t="inlineStr">
        <is>
          <t>LAXÅ</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5268-2025</t>
        </is>
      </c>
      <c r="B1797" s="1" t="n">
        <v>45692.40298611111</v>
      </c>
      <c r="C1797" s="1" t="n">
        <v>45952</v>
      </c>
      <c r="D1797" t="inlineStr">
        <is>
          <t>ÖREBRO LÄN</t>
        </is>
      </c>
      <c r="E1797" t="inlineStr">
        <is>
          <t>HÄLLEFORS</t>
        </is>
      </c>
      <c r="F1797" t="inlineStr">
        <is>
          <t>Bergvik skog väst AB</t>
        </is>
      </c>
      <c r="G1797" t="n">
        <v>3.8</v>
      </c>
      <c r="H1797" t="n">
        <v>0</v>
      </c>
      <c r="I1797" t="n">
        <v>0</v>
      </c>
      <c r="J1797" t="n">
        <v>0</v>
      </c>
      <c r="K1797" t="n">
        <v>0</v>
      </c>
      <c r="L1797" t="n">
        <v>0</v>
      </c>
      <c r="M1797" t="n">
        <v>0</v>
      </c>
      <c r="N1797" t="n">
        <v>0</v>
      </c>
      <c r="O1797" t="n">
        <v>0</v>
      </c>
      <c r="P1797" t="n">
        <v>0</v>
      </c>
      <c r="Q1797" t="n">
        <v>0</v>
      </c>
      <c r="R1797" s="2" t="inlineStr"/>
    </row>
    <row r="1798" ht="15" customHeight="1">
      <c r="A1798" t="inlineStr">
        <is>
          <t>A 13158-2024</t>
        </is>
      </c>
      <c r="B1798" s="1" t="n">
        <v>45386.38728009259</v>
      </c>
      <c r="C1798" s="1" t="n">
        <v>45952</v>
      </c>
      <c r="D1798" t="inlineStr">
        <is>
          <t>ÖREBRO LÄN</t>
        </is>
      </c>
      <c r="E1798" t="inlineStr">
        <is>
          <t>ÖREBRO</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22580-2024</t>
        </is>
      </c>
      <c r="B1799" s="1" t="n">
        <v>45447.5825462963</v>
      </c>
      <c r="C1799" s="1" t="n">
        <v>45952</v>
      </c>
      <c r="D1799" t="inlineStr">
        <is>
          <t>ÖREBRO LÄN</t>
        </is>
      </c>
      <c r="E1799" t="inlineStr">
        <is>
          <t>LEKEBERG</t>
        </is>
      </c>
      <c r="G1799" t="n">
        <v>7.3</v>
      </c>
      <c r="H1799" t="n">
        <v>0</v>
      </c>
      <c r="I1799" t="n">
        <v>0</v>
      </c>
      <c r="J1799" t="n">
        <v>0</v>
      </c>
      <c r="K1799" t="n">
        <v>0</v>
      </c>
      <c r="L1799" t="n">
        <v>0</v>
      </c>
      <c r="M1799" t="n">
        <v>0</v>
      </c>
      <c r="N1799" t="n">
        <v>0</v>
      </c>
      <c r="O1799" t="n">
        <v>0</v>
      </c>
      <c r="P1799" t="n">
        <v>0</v>
      </c>
      <c r="Q1799" t="n">
        <v>0</v>
      </c>
      <c r="R1799" s="2" t="inlineStr"/>
    </row>
    <row r="1800" ht="15" customHeight="1">
      <c r="A1800" t="inlineStr">
        <is>
          <t>A 31167-2023</t>
        </is>
      </c>
      <c r="B1800" s="1" t="n">
        <v>45103</v>
      </c>
      <c r="C1800" s="1" t="n">
        <v>45952</v>
      </c>
      <c r="D1800" t="inlineStr">
        <is>
          <t>ÖREBRO LÄN</t>
        </is>
      </c>
      <c r="E1800" t="inlineStr">
        <is>
          <t>LJUSNARSBERG</t>
        </is>
      </c>
      <c r="F1800" t="inlineStr">
        <is>
          <t>Bergvik skog väst AB</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38343-2024</t>
        </is>
      </c>
      <c r="B1801" s="1" t="n">
        <v>45545.69646990741</v>
      </c>
      <c r="C1801" s="1" t="n">
        <v>45952</v>
      </c>
      <c r="D1801" t="inlineStr">
        <is>
          <t>ÖREBRO LÄN</t>
        </is>
      </c>
      <c r="E1801" t="inlineStr">
        <is>
          <t>KUMLA</t>
        </is>
      </c>
      <c r="G1801" t="n">
        <v>0.2</v>
      </c>
      <c r="H1801" t="n">
        <v>0</v>
      </c>
      <c r="I1801" t="n">
        <v>0</v>
      </c>
      <c r="J1801" t="n">
        <v>0</v>
      </c>
      <c r="K1801" t="n">
        <v>0</v>
      </c>
      <c r="L1801" t="n">
        <v>0</v>
      </c>
      <c r="M1801" t="n">
        <v>0</v>
      </c>
      <c r="N1801" t="n">
        <v>0</v>
      </c>
      <c r="O1801" t="n">
        <v>0</v>
      </c>
      <c r="P1801" t="n">
        <v>0</v>
      </c>
      <c r="Q1801" t="n">
        <v>0</v>
      </c>
      <c r="R1801" s="2" t="inlineStr"/>
    </row>
    <row r="1802" ht="15" customHeight="1">
      <c r="A1802" t="inlineStr">
        <is>
          <t>A 17120-2025</t>
        </is>
      </c>
      <c r="B1802" s="1" t="n">
        <v>45755.68921296296</v>
      </c>
      <c r="C1802" s="1" t="n">
        <v>45952</v>
      </c>
      <c r="D1802" t="inlineStr">
        <is>
          <t>ÖREBRO LÄN</t>
        </is>
      </c>
      <c r="E1802" t="inlineStr">
        <is>
          <t>HÄLLEFORS</t>
        </is>
      </c>
      <c r="F1802" t="inlineStr">
        <is>
          <t>Bergvik skog väst AB</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67746-2021</t>
        </is>
      </c>
      <c r="B1803" s="1" t="n">
        <v>44524</v>
      </c>
      <c r="C1803" s="1" t="n">
        <v>45952</v>
      </c>
      <c r="D1803" t="inlineStr">
        <is>
          <t>ÖREBRO LÄN</t>
        </is>
      </c>
      <c r="E1803" t="inlineStr">
        <is>
          <t>LJUSNARSBERG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42803-2023</t>
        </is>
      </c>
      <c r="B1804" s="1" t="n">
        <v>45182</v>
      </c>
      <c r="C1804" s="1" t="n">
        <v>45952</v>
      </c>
      <c r="D1804" t="inlineStr">
        <is>
          <t>ÖREBRO LÄN</t>
        </is>
      </c>
      <c r="E1804" t="inlineStr">
        <is>
          <t>KARLSKOGA</t>
        </is>
      </c>
      <c r="F1804" t="inlineStr">
        <is>
          <t>Sveaskog</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7472-2025</t>
        </is>
      </c>
      <c r="B1805" s="1" t="n">
        <v>45705.46409722222</v>
      </c>
      <c r="C1805" s="1" t="n">
        <v>45952</v>
      </c>
      <c r="D1805" t="inlineStr">
        <is>
          <t>ÖREBRO LÄN</t>
        </is>
      </c>
      <c r="E1805" t="inlineStr">
        <is>
          <t>DEGERFORS</t>
        </is>
      </c>
      <c r="F1805" t="inlineStr">
        <is>
          <t>Sveaskog</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30802-2023</t>
        </is>
      </c>
      <c r="B1806" s="1" t="n">
        <v>45112</v>
      </c>
      <c r="C1806" s="1" t="n">
        <v>45952</v>
      </c>
      <c r="D1806" t="inlineStr">
        <is>
          <t>ÖREBRO LÄN</t>
        </is>
      </c>
      <c r="E1806" t="inlineStr">
        <is>
          <t>LEKEBERG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3873-2023</t>
        </is>
      </c>
      <c r="B1807" s="1" t="n">
        <v>44951</v>
      </c>
      <c r="C1807" s="1" t="n">
        <v>45952</v>
      </c>
      <c r="D1807" t="inlineStr">
        <is>
          <t>ÖREBRO LÄN</t>
        </is>
      </c>
      <c r="E1807" t="inlineStr">
        <is>
          <t>KUMLA</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53168-2023</t>
        </is>
      </c>
      <c r="B1808" s="1" t="n">
        <v>45229</v>
      </c>
      <c r="C1808" s="1" t="n">
        <v>45952</v>
      </c>
      <c r="D1808" t="inlineStr">
        <is>
          <t>ÖREBRO LÄN</t>
        </is>
      </c>
      <c r="E1808" t="inlineStr">
        <is>
          <t>LINDESBERG</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9941-2025</t>
        </is>
      </c>
      <c r="B1809" s="1" t="n">
        <v>45718.83177083333</v>
      </c>
      <c r="C1809" s="1" t="n">
        <v>45952</v>
      </c>
      <c r="D1809" t="inlineStr">
        <is>
          <t>ÖREBRO LÄN</t>
        </is>
      </c>
      <c r="E1809" t="inlineStr">
        <is>
          <t>KARLSKOGA</t>
        </is>
      </c>
      <c r="G1809" t="n">
        <v>5.5</v>
      </c>
      <c r="H1809" t="n">
        <v>0</v>
      </c>
      <c r="I1809" t="n">
        <v>0</v>
      </c>
      <c r="J1809" t="n">
        <v>0</v>
      </c>
      <c r="K1809" t="n">
        <v>0</v>
      </c>
      <c r="L1809" t="n">
        <v>0</v>
      </c>
      <c r="M1809" t="n">
        <v>0</v>
      </c>
      <c r="N1809" t="n">
        <v>0</v>
      </c>
      <c r="O1809" t="n">
        <v>0</v>
      </c>
      <c r="P1809" t="n">
        <v>0</v>
      </c>
      <c r="Q1809" t="n">
        <v>0</v>
      </c>
      <c r="R1809" s="2" t="inlineStr"/>
    </row>
    <row r="1810" ht="15" customHeight="1">
      <c r="A1810" t="inlineStr">
        <is>
          <t>A 29116-2024</t>
        </is>
      </c>
      <c r="B1810" s="1" t="n">
        <v>45481.97215277778</v>
      </c>
      <c r="C1810" s="1" t="n">
        <v>45952</v>
      </c>
      <c r="D1810" t="inlineStr">
        <is>
          <t>ÖREBRO LÄN</t>
        </is>
      </c>
      <c r="E1810" t="inlineStr">
        <is>
          <t>ASKERSUND</t>
        </is>
      </c>
      <c r="F1810" t="inlineStr">
        <is>
          <t>Sveaskog</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16300-2022</t>
        </is>
      </c>
      <c r="B1811" s="1" t="n">
        <v>44670</v>
      </c>
      <c r="C1811" s="1" t="n">
        <v>45952</v>
      </c>
      <c r="D1811" t="inlineStr">
        <is>
          <t>ÖREBRO LÄN</t>
        </is>
      </c>
      <c r="E1811" t="inlineStr">
        <is>
          <t>ÖREBRO</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46980-2023</t>
        </is>
      </c>
      <c r="B1812" s="1" t="n">
        <v>45201</v>
      </c>
      <c r="C1812" s="1" t="n">
        <v>45952</v>
      </c>
      <c r="D1812" t="inlineStr">
        <is>
          <t>ÖREBRO LÄN</t>
        </is>
      </c>
      <c r="E1812" t="inlineStr">
        <is>
          <t>HÄLLEFORS</t>
        </is>
      </c>
      <c r="F1812" t="inlineStr">
        <is>
          <t>Bergvik skog väst AB</t>
        </is>
      </c>
      <c r="G1812" t="n">
        <v>7.5</v>
      </c>
      <c r="H1812" t="n">
        <v>0</v>
      </c>
      <c r="I1812" t="n">
        <v>0</v>
      </c>
      <c r="J1812" t="n">
        <v>0</v>
      </c>
      <c r="K1812" t="n">
        <v>0</v>
      </c>
      <c r="L1812" t="n">
        <v>0</v>
      </c>
      <c r="M1812" t="n">
        <v>0</v>
      </c>
      <c r="N1812" t="n">
        <v>0</v>
      </c>
      <c r="O1812" t="n">
        <v>0</v>
      </c>
      <c r="P1812" t="n">
        <v>0</v>
      </c>
      <c r="Q1812" t="n">
        <v>0</v>
      </c>
      <c r="R1812" s="2" t="inlineStr"/>
    </row>
    <row r="1813" ht="15" customHeight="1">
      <c r="A1813" t="inlineStr">
        <is>
          <t>A 51331-2023</t>
        </is>
      </c>
      <c r="B1813" s="1" t="n">
        <v>45219</v>
      </c>
      <c r="C1813" s="1" t="n">
        <v>45952</v>
      </c>
      <c r="D1813" t="inlineStr">
        <is>
          <t>ÖREBRO LÄN</t>
        </is>
      </c>
      <c r="E1813" t="inlineStr">
        <is>
          <t>ÖREBRO</t>
        </is>
      </c>
      <c r="F1813" t="inlineStr">
        <is>
          <t>Kommuner</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12562-2021</t>
        </is>
      </c>
      <c r="B1814" s="1" t="n">
        <v>44267</v>
      </c>
      <c r="C1814" s="1" t="n">
        <v>45952</v>
      </c>
      <c r="D1814" t="inlineStr">
        <is>
          <t>ÖREBRO LÄN</t>
        </is>
      </c>
      <c r="E1814" t="inlineStr">
        <is>
          <t>LINDESBERG</t>
        </is>
      </c>
      <c r="G1814" t="n">
        <v>30.1</v>
      </c>
      <c r="H1814" t="n">
        <v>0</v>
      </c>
      <c r="I1814" t="n">
        <v>0</v>
      </c>
      <c r="J1814" t="n">
        <v>0</v>
      </c>
      <c r="K1814" t="n">
        <v>0</v>
      </c>
      <c r="L1814" t="n">
        <v>0</v>
      </c>
      <c r="M1814" t="n">
        <v>0</v>
      </c>
      <c r="N1814" t="n">
        <v>0</v>
      </c>
      <c r="O1814" t="n">
        <v>0</v>
      </c>
      <c r="P1814" t="n">
        <v>0</v>
      </c>
      <c r="Q1814" t="n">
        <v>0</v>
      </c>
      <c r="R1814" s="2" t="inlineStr"/>
    </row>
    <row r="1815" ht="15" customHeight="1">
      <c r="A1815" t="inlineStr">
        <is>
          <t>A 16053-2023</t>
        </is>
      </c>
      <c r="B1815" s="1" t="n">
        <v>45027</v>
      </c>
      <c r="C1815" s="1" t="n">
        <v>45952</v>
      </c>
      <c r="D1815" t="inlineStr">
        <is>
          <t>ÖREBRO LÄN</t>
        </is>
      </c>
      <c r="E1815" t="inlineStr">
        <is>
          <t>HÄLLEFORS</t>
        </is>
      </c>
      <c r="F1815" t="inlineStr">
        <is>
          <t>Bergvik skog väst AB</t>
        </is>
      </c>
      <c r="G1815" t="n">
        <v>14.7</v>
      </c>
      <c r="H1815" t="n">
        <v>0</v>
      </c>
      <c r="I1815" t="n">
        <v>0</v>
      </c>
      <c r="J1815" t="n">
        <v>0</v>
      </c>
      <c r="K1815" t="n">
        <v>0</v>
      </c>
      <c r="L1815" t="n">
        <v>0</v>
      </c>
      <c r="M1815" t="n">
        <v>0</v>
      </c>
      <c r="N1815" t="n">
        <v>0</v>
      </c>
      <c r="O1815" t="n">
        <v>0</v>
      </c>
      <c r="P1815" t="n">
        <v>0</v>
      </c>
      <c r="Q1815" t="n">
        <v>0</v>
      </c>
      <c r="R1815" s="2" t="inlineStr"/>
    </row>
    <row r="1816" ht="15" customHeight="1">
      <c r="A1816" t="inlineStr">
        <is>
          <t>A 29340-2024</t>
        </is>
      </c>
      <c r="B1816" s="1" t="n">
        <v>45483.46465277778</v>
      </c>
      <c r="C1816" s="1" t="n">
        <v>45952</v>
      </c>
      <c r="D1816" t="inlineStr">
        <is>
          <t>ÖREBRO LÄN</t>
        </is>
      </c>
      <c r="E1816" t="inlineStr">
        <is>
          <t>HÄLLEFORS</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6900-2023</t>
        </is>
      </c>
      <c r="B1817" s="1" t="n">
        <v>44967.5105787037</v>
      </c>
      <c r="C1817" s="1" t="n">
        <v>45952</v>
      </c>
      <c r="D1817" t="inlineStr">
        <is>
          <t>ÖREBRO LÄN</t>
        </is>
      </c>
      <c r="E1817" t="inlineStr">
        <is>
          <t>ASKERSUND</t>
        </is>
      </c>
      <c r="F1817" t="inlineStr">
        <is>
          <t>Sveaskog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59206-2024</t>
        </is>
      </c>
      <c r="B1818" s="1" t="n">
        <v>45636</v>
      </c>
      <c r="C1818" s="1" t="n">
        <v>45952</v>
      </c>
      <c r="D1818" t="inlineStr">
        <is>
          <t>ÖREBRO LÄN</t>
        </is>
      </c>
      <c r="E1818" t="inlineStr">
        <is>
          <t>DEGERFORS</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24389-2024</t>
        </is>
      </c>
      <c r="B1819" s="1" t="n">
        <v>45457.63585648148</v>
      </c>
      <c r="C1819" s="1" t="n">
        <v>45952</v>
      </c>
      <c r="D1819" t="inlineStr">
        <is>
          <t>ÖREBRO LÄN</t>
        </is>
      </c>
      <c r="E1819" t="inlineStr">
        <is>
          <t>NORA</t>
        </is>
      </c>
      <c r="G1819" t="n">
        <v>4.8</v>
      </c>
      <c r="H1819" t="n">
        <v>0</v>
      </c>
      <c r="I1819" t="n">
        <v>0</v>
      </c>
      <c r="J1819" t="n">
        <v>0</v>
      </c>
      <c r="K1819" t="n">
        <v>0</v>
      </c>
      <c r="L1819" t="n">
        <v>0</v>
      </c>
      <c r="M1819" t="n">
        <v>0</v>
      </c>
      <c r="N1819" t="n">
        <v>0</v>
      </c>
      <c r="O1819" t="n">
        <v>0</v>
      </c>
      <c r="P1819" t="n">
        <v>0</v>
      </c>
      <c r="Q1819" t="n">
        <v>0</v>
      </c>
      <c r="R1819" s="2" t="inlineStr"/>
    </row>
    <row r="1820" ht="15" customHeight="1">
      <c r="A1820" t="inlineStr">
        <is>
          <t>A 55766-2024</t>
        </is>
      </c>
      <c r="B1820" s="1" t="n">
        <v>45623.37702546296</v>
      </c>
      <c r="C1820" s="1" t="n">
        <v>45952</v>
      </c>
      <c r="D1820" t="inlineStr">
        <is>
          <t>ÖREBRO LÄN</t>
        </is>
      </c>
      <c r="E1820" t="inlineStr">
        <is>
          <t>NORA</t>
        </is>
      </c>
      <c r="G1820" t="n">
        <v>18.5</v>
      </c>
      <c r="H1820" t="n">
        <v>0</v>
      </c>
      <c r="I1820" t="n">
        <v>0</v>
      </c>
      <c r="J1820" t="n">
        <v>0</v>
      </c>
      <c r="K1820" t="n">
        <v>0</v>
      </c>
      <c r="L1820" t="n">
        <v>0</v>
      </c>
      <c r="M1820" t="n">
        <v>0</v>
      </c>
      <c r="N1820" t="n">
        <v>0</v>
      </c>
      <c r="O1820" t="n">
        <v>0</v>
      </c>
      <c r="P1820" t="n">
        <v>0</v>
      </c>
      <c r="Q1820" t="n">
        <v>0</v>
      </c>
      <c r="R1820" s="2" t="inlineStr"/>
    </row>
    <row r="1821" ht="15" customHeight="1">
      <c r="A1821" t="inlineStr">
        <is>
          <t>A 61517-2021</t>
        </is>
      </c>
      <c r="B1821" s="1" t="n">
        <v>44501</v>
      </c>
      <c r="C1821" s="1" t="n">
        <v>45952</v>
      </c>
      <c r="D1821" t="inlineStr">
        <is>
          <t>ÖREBRO LÄN</t>
        </is>
      </c>
      <c r="E1821" t="inlineStr">
        <is>
          <t>ASKERSUND</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18181-2024</t>
        </is>
      </c>
      <c r="B1822" s="1" t="n">
        <v>45420.64561342593</v>
      </c>
      <c r="C1822" s="1" t="n">
        <v>45952</v>
      </c>
      <c r="D1822" t="inlineStr">
        <is>
          <t>ÖREBRO LÄN</t>
        </is>
      </c>
      <c r="E1822" t="inlineStr">
        <is>
          <t>ÖREBRO</t>
        </is>
      </c>
      <c r="G1822" t="n">
        <v>7.6</v>
      </c>
      <c r="H1822" t="n">
        <v>0</v>
      </c>
      <c r="I1822" t="n">
        <v>0</v>
      </c>
      <c r="J1822" t="n">
        <v>0</v>
      </c>
      <c r="K1822" t="n">
        <v>0</v>
      </c>
      <c r="L1822" t="n">
        <v>0</v>
      </c>
      <c r="M1822" t="n">
        <v>0</v>
      </c>
      <c r="N1822" t="n">
        <v>0</v>
      </c>
      <c r="O1822" t="n">
        <v>0</v>
      </c>
      <c r="P1822" t="n">
        <v>0</v>
      </c>
      <c r="Q1822" t="n">
        <v>0</v>
      </c>
      <c r="R1822" s="2" t="inlineStr"/>
    </row>
    <row r="1823" ht="15" customHeight="1">
      <c r="A1823" t="inlineStr">
        <is>
          <t>A 18802-2024</t>
        </is>
      </c>
      <c r="B1823" s="1" t="n">
        <v>45426.60180555555</v>
      </c>
      <c r="C1823" s="1" t="n">
        <v>45952</v>
      </c>
      <c r="D1823" t="inlineStr">
        <is>
          <t>ÖREBRO LÄN</t>
        </is>
      </c>
      <c r="E1823" t="inlineStr">
        <is>
          <t>ASKERSUND</t>
        </is>
      </c>
      <c r="G1823" t="n">
        <v>5.2</v>
      </c>
      <c r="H1823" t="n">
        <v>0</v>
      </c>
      <c r="I1823" t="n">
        <v>0</v>
      </c>
      <c r="J1823" t="n">
        <v>0</v>
      </c>
      <c r="K1823" t="n">
        <v>0</v>
      </c>
      <c r="L1823" t="n">
        <v>0</v>
      </c>
      <c r="M1823" t="n">
        <v>0</v>
      </c>
      <c r="N1823" t="n">
        <v>0</v>
      </c>
      <c r="O1823" t="n">
        <v>0</v>
      </c>
      <c r="P1823" t="n">
        <v>0</v>
      </c>
      <c r="Q1823" t="n">
        <v>0</v>
      </c>
      <c r="R1823" s="2" t="inlineStr"/>
    </row>
    <row r="1824" ht="15" customHeight="1">
      <c r="A1824" t="inlineStr">
        <is>
          <t>A 21952-2024</t>
        </is>
      </c>
      <c r="B1824" s="1" t="n">
        <v>45443.48370370371</v>
      </c>
      <c r="C1824" s="1" t="n">
        <v>45952</v>
      </c>
      <c r="D1824" t="inlineStr">
        <is>
          <t>ÖREBRO LÄN</t>
        </is>
      </c>
      <c r="E1824" t="inlineStr">
        <is>
          <t>DEGERFORS</t>
        </is>
      </c>
      <c r="F1824" t="inlineStr">
        <is>
          <t>Sveaskog</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39337-2022</t>
        </is>
      </c>
      <c r="B1825" s="1" t="n">
        <v>44817.72568287037</v>
      </c>
      <c r="C1825" s="1" t="n">
        <v>45952</v>
      </c>
      <c r="D1825" t="inlineStr">
        <is>
          <t>ÖREBRO LÄN</t>
        </is>
      </c>
      <c r="E1825" t="inlineStr">
        <is>
          <t>KARLSKOGA</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18657-2025</t>
        </is>
      </c>
      <c r="B1826" s="1" t="n">
        <v>45763.57651620371</v>
      </c>
      <c r="C1826" s="1" t="n">
        <v>45952</v>
      </c>
      <c r="D1826" t="inlineStr">
        <is>
          <t>ÖREBRO LÄN</t>
        </is>
      </c>
      <c r="E1826" t="inlineStr">
        <is>
          <t>HÄLLEFORS</t>
        </is>
      </c>
      <c r="F1826" t="inlineStr">
        <is>
          <t>Bergvik skog väst AB</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31295-2023</t>
        </is>
      </c>
      <c r="B1827" s="1" t="n">
        <v>45103</v>
      </c>
      <c r="C1827" s="1" t="n">
        <v>45952</v>
      </c>
      <c r="D1827" t="inlineStr">
        <is>
          <t>ÖREBRO LÄN</t>
        </is>
      </c>
      <c r="E1827" t="inlineStr">
        <is>
          <t>LJUSNARSBERG</t>
        </is>
      </c>
      <c r="F1827" t="inlineStr">
        <is>
          <t>Bergvik skog väst AB</t>
        </is>
      </c>
      <c r="G1827" t="n">
        <v>3.2</v>
      </c>
      <c r="H1827" t="n">
        <v>0</v>
      </c>
      <c r="I1827" t="n">
        <v>0</v>
      </c>
      <c r="J1827" t="n">
        <v>0</v>
      </c>
      <c r="K1827" t="n">
        <v>0</v>
      </c>
      <c r="L1827" t="n">
        <v>0</v>
      </c>
      <c r="M1827" t="n">
        <v>0</v>
      </c>
      <c r="N1827" t="n">
        <v>0</v>
      </c>
      <c r="O1827" t="n">
        <v>0</v>
      </c>
      <c r="P1827" t="n">
        <v>0</v>
      </c>
      <c r="Q1827" t="n">
        <v>0</v>
      </c>
      <c r="R1827" s="2" t="inlineStr"/>
    </row>
    <row r="1828" ht="15" customHeight="1">
      <c r="A1828" t="inlineStr">
        <is>
          <t>A 50101-2024</t>
        </is>
      </c>
      <c r="B1828" s="1" t="n">
        <v>45599</v>
      </c>
      <c r="C1828" s="1" t="n">
        <v>45952</v>
      </c>
      <c r="D1828" t="inlineStr">
        <is>
          <t>ÖREBRO LÄN</t>
        </is>
      </c>
      <c r="E1828" t="inlineStr">
        <is>
          <t>ASKERSUND</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6001-2021</t>
        </is>
      </c>
      <c r="B1829" s="1" t="n">
        <v>44231</v>
      </c>
      <c r="C1829" s="1" t="n">
        <v>45952</v>
      </c>
      <c r="D1829" t="inlineStr">
        <is>
          <t>ÖREBRO LÄN</t>
        </is>
      </c>
      <c r="E1829" t="inlineStr">
        <is>
          <t>LINDESBERG</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35144-2023</t>
        </is>
      </c>
      <c r="B1830" s="1" t="n">
        <v>45145</v>
      </c>
      <c r="C1830" s="1" t="n">
        <v>45952</v>
      </c>
      <c r="D1830" t="inlineStr">
        <is>
          <t>ÖREBRO LÄN</t>
        </is>
      </c>
      <c r="E1830" t="inlineStr">
        <is>
          <t>NORA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15936-2025</t>
        </is>
      </c>
      <c r="B1831" s="1" t="n">
        <v>45749.4737962963</v>
      </c>
      <c r="C1831" s="1" t="n">
        <v>45952</v>
      </c>
      <c r="D1831" t="inlineStr">
        <is>
          <t>ÖREBRO LÄN</t>
        </is>
      </c>
      <c r="E1831" t="inlineStr">
        <is>
          <t>LINDESBERG</t>
        </is>
      </c>
      <c r="G1831" t="n">
        <v>22.3</v>
      </c>
      <c r="H1831" t="n">
        <v>0</v>
      </c>
      <c r="I1831" t="n">
        <v>0</v>
      </c>
      <c r="J1831" t="n">
        <v>0</v>
      </c>
      <c r="K1831" t="n">
        <v>0</v>
      </c>
      <c r="L1831" t="n">
        <v>0</v>
      </c>
      <c r="M1831" t="n">
        <v>0</v>
      </c>
      <c r="N1831" t="n">
        <v>0</v>
      </c>
      <c r="O1831" t="n">
        <v>0</v>
      </c>
      <c r="P1831" t="n">
        <v>0</v>
      </c>
      <c r="Q1831" t="n">
        <v>0</v>
      </c>
      <c r="R1831" s="2" t="inlineStr"/>
    </row>
    <row r="1832" ht="15" customHeight="1">
      <c r="A1832" t="inlineStr">
        <is>
          <t>A 10321-2023</t>
        </is>
      </c>
      <c r="B1832" s="1" t="n">
        <v>44986.99549768519</v>
      </c>
      <c r="C1832" s="1" t="n">
        <v>45952</v>
      </c>
      <c r="D1832" t="inlineStr">
        <is>
          <t>ÖREBRO LÄN</t>
        </is>
      </c>
      <c r="E1832" t="inlineStr">
        <is>
          <t>DEGERFORS</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14499-2022</t>
        </is>
      </c>
      <c r="B1833" s="1" t="n">
        <v>44655.36789351852</v>
      </c>
      <c r="C1833" s="1" t="n">
        <v>45952</v>
      </c>
      <c r="D1833" t="inlineStr">
        <is>
          <t>ÖREBRO LÄN</t>
        </is>
      </c>
      <c r="E1833" t="inlineStr">
        <is>
          <t>ASKERSUND</t>
        </is>
      </c>
      <c r="F1833" t="inlineStr">
        <is>
          <t>Sveaskog</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71766-2021</t>
        </is>
      </c>
      <c r="B1834" s="1" t="n">
        <v>44543</v>
      </c>
      <c r="C1834" s="1" t="n">
        <v>45952</v>
      </c>
      <c r="D1834" t="inlineStr">
        <is>
          <t>ÖREBRO LÄN</t>
        </is>
      </c>
      <c r="E1834" t="inlineStr">
        <is>
          <t>HÄLLEFORS</t>
        </is>
      </c>
      <c r="F1834" t="inlineStr">
        <is>
          <t>Bergvik skog väst AB</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40870-2024</t>
        </is>
      </c>
      <c r="B1835" s="1" t="n">
        <v>45558.59421296296</v>
      </c>
      <c r="C1835" s="1" t="n">
        <v>45952</v>
      </c>
      <c r="D1835" t="inlineStr">
        <is>
          <t>ÖREBRO LÄN</t>
        </is>
      </c>
      <c r="E1835" t="inlineStr">
        <is>
          <t>DEGERFORS</t>
        </is>
      </c>
      <c r="F1835" t="inlineStr">
        <is>
          <t>Sveaskog</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70707-2021</t>
        </is>
      </c>
      <c r="B1836" s="1" t="n">
        <v>44537</v>
      </c>
      <c r="C1836" s="1" t="n">
        <v>45952</v>
      </c>
      <c r="D1836" t="inlineStr">
        <is>
          <t>ÖREBRO LÄN</t>
        </is>
      </c>
      <c r="E1836" t="inlineStr">
        <is>
          <t>ÖREBRO</t>
        </is>
      </c>
      <c r="G1836" t="n">
        <v>13.2</v>
      </c>
      <c r="H1836" t="n">
        <v>0</v>
      </c>
      <c r="I1836" t="n">
        <v>0</v>
      </c>
      <c r="J1836" t="n">
        <v>0</v>
      </c>
      <c r="K1836" t="n">
        <v>0</v>
      </c>
      <c r="L1836" t="n">
        <v>0</v>
      </c>
      <c r="M1836" t="n">
        <v>0</v>
      </c>
      <c r="N1836" t="n">
        <v>0</v>
      </c>
      <c r="O1836" t="n">
        <v>0</v>
      </c>
      <c r="P1836" t="n">
        <v>0</v>
      </c>
      <c r="Q1836" t="n">
        <v>0</v>
      </c>
      <c r="R1836" s="2" t="inlineStr"/>
    </row>
    <row r="1837" ht="15" customHeight="1">
      <c r="A1837" t="inlineStr">
        <is>
          <t>A 1478-2023</t>
        </is>
      </c>
      <c r="B1837" s="1" t="n">
        <v>44937</v>
      </c>
      <c r="C1837" s="1" t="n">
        <v>45952</v>
      </c>
      <c r="D1837" t="inlineStr">
        <is>
          <t>ÖREBRO LÄN</t>
        </is>
      </c>
      <c r="E1837" t="inlineStr">
        <is>
          <t>KUMLA</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26537-2021</t>
        </is>
      </c>
      <c r="B1838" s="1" t="n">
        <v>44348</v>
      </c>
      <c r="C1838" s="1" t="n">
        <v>45952</v>
      </c>
      <c r="D1838" t="inlineStr">
        <is>
          <t>ÖREBRO LÄN</t>
        </is>
      </c>
      <c r="E1838" t="inlineStr">
        <is>
          <t>HÄLLEFORS</t>
        </is>
      </c>
      <c r="F1838" t="inlineStr">
        <is>
          <t>Bergvik skog väst AB</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24255-2024</t>
        </is>
      </c>
      <c r="B1839" s="1" t="n">
        <v>45457.39487268519</v>
      </c>
      <c r="C1839" s="1" t="n">
        <v>45952</v>
      </c>
      <c r="D1839" t="inlineStr">
        <is>
          <t>ÖREBRO LÄN</t>
        </is>
      </c>
      <c r="E1839" t="inlineStr">
        <is>
          <t>KARLSKOGA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10787-2023</t>
        </is>
      </c>
      <c r="B1840" s="1" t="n">
        <v>44989</v>
      </c>
      <c r="C1840" s="1" t="n">
        <v>45952</v>
      </c>
      <c r="D1840" t="inlineStr">
        <is>
          <t>ÖREBRO LÄN</t>
        </is>
      </c>
      <c r="E1840" t="inlineStr">
        <is>
          <t>LEKEBERG</t>
        </is>
      </c>
      <c r="G1840" t="n">
        <v>5</v>
      </c>
      <c r="H1840" t="n">
        <v>0</v>
      </c>
      <c r="I1840" t="n">
        <v>0</v>
      </c>
      <c r="J1840" t="n">
        <v>0</v>
      </c>
      <c r="K1840" t="n">
        <v>0</v>
      </c>
      <c r="L1840" t="n">
        <v>0</v>
      </c>
      <c r="M1840" t="n">
        <v>0</v>
      </c>
      <c r="N1840" t="n">
        <v>0</v>
      </c>
      <c r="O1840" t="n">
        <v>0</v>
      </c>
      <c r="P1840" t="n">
        <v>0</v>
      </c>
      <c r="Q1840" t="n">
        <v>0</v>
      </c>
      <c r="R1840" s="2" t="inlineStr"/>
    </row>
    <row r="1841" ht="15" customHeight="1">
      <c r="A1841" t="inlineStr">
        <is>
          <t>A 10791-2023</t>
        </is>
      </c>
      <c r="B1841" s="1" t="n">
        <v>44989</v>
      </c>
      <c r="C1841" s="1" t="n">
        <v>45952</v>
      </c>
      <c r="D1841" t="inlineStr">
        <is>
          <t>ÖREBRO LÄN</t>
        </is>
      </c>
      <c r="E1841" t="inlineStr">
        <is>
          <t>LEKEBERG</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36748-2024</t>
        </is>
      </c>
      <c r="B1842" s="1" t="n">
        <v>45538.34460648148</v>
      </c>
      <c r="C1842" s="1" t="n">
        <v>45952</v>
      </c>
      <c r="D1842" t="inlineStr">
        <is>
          <t>ÖREBRO LÄN</t>
        </is>
      </c>
      <c r="E1842" t="inlineStr">
        <is>
          <t>LINDESBERG</t>
        </is>
      </c>
      <c r="F1842" t="inlineStr">
        <is>
          <t>Sveaskog</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52879-2023</t>
        </is>
      </c>
      <c r="B1843" s="1" t="n">
        <v>45226.47349537037</v>
      </c>
      <c r="C1843" s="1" t="n">
        <v>45952</v>
      </c>
      <c r="D1843" t="inlineStr">
        <is>
          <t>ÖREBRO LÄN</t>
        </is>
      </c>
      <c r="E1843" t="inlineStr">
        <is>
          <t>NORA</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47344-2024</t>
        </is>
      </c>
      <c r="B1844" s="1" t="n">
        <v>45587.40885416666</v>
      </c>
      <c r="C1844" s="1" t="n">
        <v>45952</v>
      </c>
      <c r="D1844" t="inlineStr">
        <is>
          <t>ÖREBRO LÄN</t>
        </is>
      </c>
      <c r="E1844" t="inlineStr">
        <is>
          <t>ASKERSUND</t>
        </is>
      </c>
      <c r="F1844" t="inlineStr">
        <is>
          <t>Sveaskog</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13902-2024</t>
        </is>
      </c>
      <c r="B1845" s="1" t="n">
        <v>45391.67054398148</v>
      </c>
      <c r="C1845" s="1" t="n">
        <v>45952</v>
      </c>
      <c r="D1845" t="inlineStr">
        <is>
          <t>ÖREBRO LÄN</t>
        </is>
      </c>
      <c r="E1845" t="inlineStr">
        <is>
          <t>ASKERSUND</t>
        </is>
      </c>
      <c r="G1845" t="n">
        <v>5</v>
      </c>
      <c r="H1845" t="n">
        <v>0</v>
      </c>
      <c r="I1845" t="n">
        <v>0</v>
      </c>
      <c r="J1845" t="n">
        <v>0</v>
      </c>
      <c r="K1845" t="n">
        <v>0</v>
      </c>
      <c r="L1845" t="n">
        <v>0</v>
      </c>
      <c r="M1845" t="n">
        <v>0</v>
      </c>
      <c r="N1845" t="n">
        <v>0</v>
      </c>
      <c r="O1845" t="n">
        <v>0</v>
      </c>
      <c r="P1845" t="n">
        <v>0</v>
      </c>
      <c r="Q1845" t="n">
        <v>0</v>
      </c>
      <c r="R1845" s="2" t="inlineStr"/>
    </row>
    <row r="1846" ht="15" customHeight="1">
      <c r="A1846" t="inlineStr">
        <is>
          <t>A 10564-2023</t>
        </is>
      </c>
      <c r="B1846" s="1" t="n">
        <v>44988</v>
      </c>
      <c r="C1846" s="1" t="n">
        <v>45952</v>
      </c>
      <c r="D1846" t="inlineStr">
        <is>
          <t>ÖREBRO LÄN</t>
        </is>
      </c>
      <c r="E1846" t="inlineStr">
        <is>
          <t>LINDESBERG</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10467-2025</t>
        </is>
      </c>
      <c r="B1847" s="1" t="n">
        <v>45720.83359953704</v>
      </c>
      <c r="C1847" s="1" t="n">
        <v>45952</v>
      </c>
      <c r="D1847" t="inlineStr">
        <is>
          <t>ÖREBRO LÄN</t>
        </is>
      </c>
      <c r="E1847" t="inlineStr">
        <is>
          <t>LEKEBERG</t>
        </is>
      </c>
      <c r="G1847" t="n">
        <v>3.8</v>
      </c>
      <c r="H1847" t="n">
        <v>0</v>
      </c>
      <c r="I1847" t="n">
        <v>0</v>
      </c>
      <c r="J1847" t="n">
        <v>0</v>
      </c>
      <c r="K1847" t="n">
        <v>0</v>
      </c>
      <c r="L1847" t="n">
        <v>0</v>
      </c>
      <c r="M1847" t="n">
        <v>0</v>
      </c>
      <c r="N1847" t="n">
        <v>0</v>
      </c>
      <c r="O1847" t="n">
        <v>0</v>
      </c>
      <c r="P1847" t="n">
        <v>0</v>
      </c>
      <c r="Q1847" t="n">
        <v>0</v>
      </c>
      <c r="R1847" s="2" t="inlineStr"/>
    </row>
    <row r="1848" ht="15" customHeight="1">
      <c r="A1848" t="inlineStr">
        <is>
          <t>A 2175-2024</t>
        </is>
      </c>
      <c r="B1848" s="1" t="n">
        <v>45309</v>
      </c>
      <c r="C1848" s="1" t="n">
        <v>45952</v>
      </c>
      <c r="D1848" t="inlineStr">
        <is>
          <t>ÖREBRO LÄN</t>
        </is>
      </c>
      <c r="E1848" t="inlineStr">
        <is>
          <t>LEKEBERG</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50857-2022</t>
        </is>
      </c>
      <c r="B1849" s="1" t="n">
        <v>44864</v>
      </c>
      <c r="C1849" s="1" t="n">
        <v>45952</v>
      </c>
      <c r="D1849" t="inlineStr">
        <is>
          <t>ÖREBRO LÄN</t>
        </is>
      </c>
      <c r="E1849" t="inlineStr">
        <is>
          <t>ASKERSUND</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8803-2025</t>
        </is>
      </c>
      <c r="B1850" s="1" t="n">
        <v>45712.66123842593</v>
      </c>
      <c r="C1850" s="1" t="n">
        <v>45952</v>
      </c>
      <c r="D1850" t="inlineStr">
        <is>
          <t>ÖREBRO LÄN</t>
        </is>
      </c>
      <c r="E1850" t="inlineStr">
        <is>
          <t>KARLSKOGA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1437-2024</t>
        </is>
      </c>
      <c r="B1851" s="1" t="n">
        <v>45303</v>
      </c>
      <c r="C1851" s="1" t="n">
        <v>45952</v>
      </c>
      <c r="D1851" t="inlineStr">
        <is>
          <t>ÖREBRO LÄN</t>
        </is>
      </c>
      <c r="E1851" t="inlineStr">
        <is>
          <t>ASKERSUND</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30830-2024</t>
        </is>
      </c>
      <c r="B1852" s="1" t="n">
        <v>45497</v>
      </c>
      <c r="C1852" s="1" t="n">
        <v>45952</v>
      </c>
      <c r="D1852" t="inlineStr">
        <is>
          <t>ÖREBRO LÄN</t>
        </is>
      </c>
      <c r="E1852" t="inlineStr">
        <is>
          <t>LINDESBERG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34874-2022</t>
        </is>
      </c>
      <c r="B1853" s="1" t="n">
        <v>44796</v>
      </c>
      <c r="C1853" s="1" t="n">
        <v>45952</v>
      </c>
      <c r="D1853" t="inlineStr">
        <is>
          <t>ÖREBRO LÄN</t>
        </is>
      </c>
      <c r="E1853" t="inlineStr">
        <is>
          <t>ÖREBRO</t>
        </is>
      </c>
      <c r="F1853" t="inlineStr">
        <is>
          <t>Övriga Aktiebolag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9457-2025</t>
        </is>
      </c>
      <c r="B1854" s="1" t="n">
        <v>45714</v>
      </c>
      <c r="C1854" s="1" t="n">
        <v>45952</v>
      </c>
      <c r="D1854" t="inlineStr">
        <is>
          <t>ÖREBRO LÄN</t>
        </is>
      </c>
      <c r="E1854" t="inlineStr">
        <is>
          <t>NORA</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348-2025</t>
        </is>
      </c>
      <c r="B1855" s="1" t="n">
        <v>45660</v>
      </c>
      <c r="C1855" s="1" t="n">
        <v>45952</v>
      </c>
      <c r="D1855" t="inlineStr">
        <is>
          <t>ÖREBRO LÄN</t>
        </is>
      </c>
      <c r="E1855" t="inlineStr">
        <is>
          <t>NORA</t>
        </is>
      </c>
      <c r="G1855" t="n">
        <v>7.3</v>
      </c>
      <c r="H1855" t="n">
        <v>0</v>
      </c>
      <c r="I1855" t="n">
        <v>0</v>
      </c>
      <c r="J1855" t="n">
        <v>0</v>
      </c>
      <c r="K1855" t="n">
        <v>0</v>
      </c>
      <c r="L1855" t="n">
        <v>0</v>
      </c>
      <c r="M1855" t="n">
        <v>0</v>
      </c>
      <c r="N1855" t="n">
        <v>0</v>
      </c>
      <c r="O1855" t="n">
        <v>0</v>
      </c>
      <c r="P1855" t="n">
        <v>0</v>
      </c>
      <c r="Q1855" t="n">
        <v>0</v>
      </c>
      <c r="R1855" s="2" t="inlineStr"/>
    </row>
    <row r="1856" ht="15" customHeight="1">
      <c r="A1856" t="inlineStr">
        <is>
          <t>A 3679-2023</t>
        </is>
      </c>
      <c r="B1856" s="1" t="n">
        <v>44950.89840277778</v>
      </c>
      <c r="C1856" s="1" t="n">
        <v>45952</v>
      </c>
      <c r="D1856" t="inlineStr">
        <is>
          <t>ÖREBRO LÄN</t>
        </is>
      </c>
      <c r="E1856" t="inlineStr">
        <is>
          <t>ASKERSUND</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32319-2022</t>
        </is>
      </c>
      <c r="B1857" s="1" t="n">
        <v>44781</v>
      </c>
      <c r="C1857" s="1" t="n">
        <v>45952</v>
      </c>
      <c r="D1857" t="inlineStr">
        <is>
          <t>ÖREBRO LÄN</t>
        </is>
      </c>
      <c r="E1857" t="inlineStr">
        <is>
          <t>ASKERSUND</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60732-2023</t>
        </is>
      </c>
      <c r="B1858" s="1" t="n">
        <v>45260</v>
      </c>
      <c r="C1858" s="1" t="n">
        <v>45952</v>
      </c>
      <c r="D1858" t="inlineStr">
        <is>
          <t>ÖREBRO LÄN</t>
        </is>
      </c>
      <c r="E1858" t="inlineStr">
        <is>
          <t>LAXÅ</t>
        </is>
      </c>
      <c r="F1858" t="inlineStr">
        <is>
          <t>Sveaskog</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37564-2024</t>
        </is>
      </c>
      <c r="B1859" s="1" t="n">
        <v>45541.44607638889</v>
      </c>
      <c r="C1859" s="1" t="n">
        <v>45952</v>
      </c>
      <c r="D1859" t="inlineStr">
        <is>
          <t>ÖREBRO LÄN</t>
        </is>
      </c>
      <c r="E1859" t="inlineStr">
        <is>
          <t>LEKEBERG</t>
        </is>
      </c>
      <c r="G1859" t="n">
        <v>11.1</v>
      </c>
      <c r="H1859" t="n">
        <v>0</v>
      </c>
      <c r="I1859" t="n">
        <v>0</v>
      </c>
      <c r="J1859" t="n">
        <v>0</v>
      </c>
      <c r="K1859" t="n">
        <v>0</v>
      </c>
      <c r="L1859" t="n">
        <v>0</v>
      </c>
      <c r="M1859" t="n">
        <v>0</v>
      </c>
      <c r="N1859" t="n">
        <v>0</v>
      </c>
      <c r="O1859" t="n">
        <v>0</v>
      </c>
      <c r="P1859" t="n">
        <v>0</v>
      </c>
      <c r="Q1859" t="n">
        <v>0</v>
      </c>
      <c r="R1859" s="2" t="inlineStr"/>
    </row>
    <row r="1860" ht="15" customHeight="1">
      <c r="A1860" t="inlineStr">
        <is>
          <t>A 35444-2024</t>
        </is>
      </c>
      <c r="B1860" s="1" t="n">
        <v>45531.43599537037</v>
      </c>
      <c r="C1860" s="1" t="n">
        <v>45952</v>
      </c>
      <c r="D1860" t="inlineStr">
        <is>
          <t>ÖREBRO LÄN</t>
        </is>
      </c>
      <c r="E1860" t="inlineStr">
        <is>
          <t>KARLSKOGA</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56217-2022</t>
        </is>
      </c>
      <c r="B1861" s="1" t="n">
        <v>44890.46174768519</v>
      </c>
      <c r="C1861" s="1" t="n">
        <v>45952</v>
      </c>
      <c r="D1861" t="inlineStr">
        <is>
          <t>ÖREBRO LÄN</t>
        </is>
      </c>
      <c r="E1861" t="inlineStr">
        <is>
          <t>LINDESBERG</t>
        </is>
      </c>
      <c r="G1861" t="n">
        <v>6.9</v>
      </c>
      <c r="H1861" t="n">
        <v>0</v>
      </c>
      <c r="I1861" t="n">
        <v>0</v>
      </c>
      <c r="J1861" t="n">
        <v>0</v>
      </c>
      <c r="K1861" t="n">
        <v>0</v>
      </c>
      <c r="L1861" t="n">
        <v>0</v>
      </c>
      <c r="M1861" t="n">
        <v>0</v>
      </c>
      <c r="N1861" t="n">
        <v>0</v>
      </c>
      <c r="O1861" t="n">
        <v>0</v>
      </c>
      <c r="P1861" t="n">
        <v>0</v>
      </c>
      <c r="Q1861" t="n">
        <v>0</v>
      </c>
      <c r="R1861" s="2" t="inlineStr"/>
    </row>
    <row r="1862" ht="15" customHeight="1">
      <c r="A1862" t="inlineStr">
        <is>
          <t>A 38179-2023</t>
        </is>
      </c>
      <c r="B1862" s="1" t="n">
        <v>45161.45337962963</v>
      </c>
      <c r="C1862" s="1" t="n">
        <v>45952</v>
      </c>
      <c r="D1862" t="inlineStr">
        <is>
          <t>ÖREBRO LÄN</t>
        </is>
      </c>
      <c r="E1862" t="inlineStr">
        <is>
          <t>NORA</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5550-2024</t>
        </is>
      </c>
      <c r="B1863" s="1" t="n">
        <v>45334</v>
      </c>
      <c r="C1863" s="1" t="n">
        <v>45952</v>
      </c>
      <c r="D1863" t="inlineStr">
        <is>
          <t>ÖREBRO LÄN</t>
        </is>
      </c>
      <c r="E1863" t="inlineStr">
        <is>
          <t>LINDESBERG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29503-2021</t>
        </is>
      </c>
      <c r="B1864" s="1" t="n">
        <v>44361</v>
      </c>
      <c r="C1864" s="1" t="n">
        <v>45952</v>
      </c>
      <c r="D1864" t="inlineStr">
        <is>
          <t>ÖREBRO LÄN</t>
        </is>
      </c>
      <c r="E1864" t="inlineStr">
        <is>
          <t>HALLSBERG</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73009-2021</t>
        </is>
      </c>
      <c r="B1865" s="1" t="n">
        <v>44550.33282407407</v>
      </c>
      <c r="C1865" s="1" t="n">
        <v>45952</v>
      </c>
      <c r="D1865" t="inlineStr">
        <is>
          <t>ÖREBRO LÄN</t>
        </is>
      </c>
      <c r="E1865" t="inlineStr">
        <is>
          <t>NORA</t>
        </is>
      </c>
      <c r="F1865" t="inlineStr">
        <is>
          <t>Sveaskog</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55047-2021</t>
        </is>
      </c>
      <c r="B1866" s="1" t="n">
        <v>44474</v>
      </c>
      <c r="C1866" s="1" t="n">
        <v>45952</v>
      </c>
      <c r="D1866" t="inlineStr">
        <is>
          <t>ÖREBRO LÄN</t>
        </is>
      </c>
      <c r="E1866" t="inlineStr">
        <is>
          <t>ASKERSUND</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36291-2022</t>
        </is>
      </c>
      <c r="B1867" s="1" t="n">
        <v>44803.64361111111</v>
      </c>
      <c r="C1867" s="1" t="n">
        <v>45952</v>
      </c>
      <c r="D1867" t="inlineStr">
        <is>
          <t>ÖREBRO LÄN</t>
        </is>
      </c>
      <c r="E1867" t="inlineStr">
        <is>
          <t>LINDESBERG</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28082-2021</t>
        </is>
      </c>
      <c r="B1868" s="1" t="n">
        <v>44355</v>
      </c>
      <c r="C1868" s="1" t="n">
        <v>45952</v>
      </c>
      <c r="D1868" t="inlineStr">
        <is>
          <t>ÖREBRO LÄN</t>
        </is>
      </c>
      <c r="E1868" t="inlineStr">
        <is>
          <t>LINDESBERG</t>
        </is>
      </c>
      <c r="F1868" t="inlineStr">
        <is>
          <t>Sveaskog</t>
        </is>
      </c>
      <c r="G1868" t="n">
        <v>9.9</v>
      </c>
      <c r="H1868" t="n">
        <v>0</v>
      </c>
      <c r="I1868" t="n">
        <v>0</v>
      </c>
      <c r="J1868" t="n">
        <v>0</v>
      </c>
      <c r="K1868" t="n">
        <v>0</v>
      </c>
      <c r="L1868" t="n">
        <v>0</v>
      </c>
      <c r="M1868" t="n">
        <v>0</v>
      </c>
      <c r="N1868" t="n">
        <v>0</v>
      </c>
      <c r="O1868" t="n">
        <v>0</v>
      </c>
      <c r="P1868" t="n">
        <v>0</v>
      </c>
      <c r="Q1868" t="n">
        <v>0</v>
      </c>
      <c r="R1868" s="2" t="inlineStr"/>
    </row>
    <row r="1869" ht="15" customHeight="1">
      <c r="A1869" t="inlineStr">
        <is>
          <t>A 852-2025</t>
        </is>
      </c>
      <c r="B1869" s="1" t="n">
        <v>45665.60148148148</v>
      </c>
      <c r="C1869" s="1" t="n">
        <v>45952</v>
      </c>
      <c r="D1869" t="inlineStr">
        <is>
          <t>ÖREBRO LÄN</t>
        </is>
      </c>
      <c r="E1869" t="inlineStr">
        <is>
          <t>ÖREBRO</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37027-2022</t>
        </is>
      </c>
      <c r="B1870" s="1" t="n">
        <v>44806</v>
      </c>
      <c r="C1870" s="1" t="n">
        <v>45952</v>
      </c>
      <c r="D1870" t="inlineStr">
        <is>
          <t>ÖREBRO LÄN</t>
        </is>
      </c>
      <c r="E1870" t="inlineStr">
        <is>
          <t>HÄLLEFORS</t>
        </is>
      </c>
      <c r="F1870" t="inlineStr">
        <is>
          <t>Bergvik skog väst AB</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53009-2023</t>
        </is>
      </c>
      <c r="B1871" s="1" t="n">
        <v>45226</v>
      </c>
      <c r="C1871" s="1" t="n">
        <v>45952</v>
      </c>
      <c r="D1871" t="inlineStr">
        <is>
          <t>ÖREBRO LÄN</t>
        </is>
      </c>
      <c r="E1871" t="inlineStr">
        <is>
          <t>HALLSBERG</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6876-2023</t>
        </is>
      </c>
      <c r="B1872" s="1" t="n">
        <v>44967.47450231481</v>
      </c>
      <c r="C1872" s="1" t="n">
        <v>45952</v>
      </c>
      <c r="D1872" t="inlineStr">
        <is>
          <t>ÖREBRO LÄN</t>
        </is>
      </c>
      <c r="E1872" t="inlineStr">
        <is>
          <t>HALLSBERG</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53789-2022</t>
        </is>
      </c>
      <c r="B1873" s="1" t="n">
        <v>44880.49702546297</v>
      </c>
      <c r="C1873" s="1" t="n">
        <v>45952</v>
      </c>
      <c r="D1873" t="inlineStr">
        <is>
          <t>ÖREBRO LÄN</t>
        </is>
      </c>
      <c r="E1873" t="inlineStr">
        <is>
          <t>LJUSNARSBERG</t>
        </is>
      </c>
      <c r="G1873" t="n">
        <v>2.9</v>
      </c>
      <c r="H1873" t="n">
        <v>0</v>
      </c>
      <c r="I1873" t="n">
        <v>0</v>
      </c>
      <c r="J1873" t="n">
        <v>0</v>
      </c>
      <c r="K1873" t="n">
        <v>0</v>
      </c>
      <c r="L1873" t="n">
        <v>0</v>
      </c>
      <c r="M1873" t="n">
        <v>0</v>
      </c>
      <c r="N1873" t="n">
        <v>0</v>
      </c>
      <c r="O1873" t="n">
        <v>0</v>
      </c>
      <c r="P1873" t="n">
        <v>0</v>
      </c>
      <c r="Q1873" t="n">
        <v>0</v>
      </c>
      <c r="R1873" s="2" t="inlineStr"/>
    </row>
    <row r="1874" ht="15" customHeight="1">
      <c r="A1874" t="inlineStr">
        <is>
          <t>A 54075-2024</t>
        </is>
      </c>
      <c r="B1874" s="1" t="n">
        <v>45616.48739583333</v>
      </c>
      <c r="C1874" s="1" t="n">
        <v>45952</v>
      </c>
      <c r="D1874" t="inlineStr">
        <is>
          <t>ÖREBRO LÄN</t>
        </is>
      </c>
      <c r="E1874" t="inlineStr">
        <is>
          <t>HALLSBERG</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60100-2022</t>
        </is>
      </c>
      <c r="B1875" s="1" t="n">
        <v>44902</v>
      </c>
      <c r="C1875" s="1" t="n">
        <v>45952</v>
      </c>
      <c r="D1875" t="inlineStr">
        <is>
          <t>ÖREBRO LÄN</t>
        </is>
      </c>
      <c r="E1875" t="inlineStr">
        <is>
          <t>ÖREBRO</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32829-2024</t>
        </is>
      </c>
      <c r="B1876" s="1" t="n">
        <v>45516.59447916667</v>
      </c>
      <c r="C1876" s="1" t="n">
        <v>45952</v>
      </c>
      <c r="D1876" t="inlineStr">
        <is>
          <t>ÖREBRO LÄN</t>
        </is>
      </c>
      <c r="E1876" t="inlineStr">
        <is>
          <t>LINDESBERG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18664-2025</t>
        </is>
      </c>
      <c r="B1877" s="1" t="n">
        <v>45763.58991898148</v>
      </c>
      <c r="C1877" s="1" t="n">
        <v>45952</v>
      </c>
      <c r="D1877" t="inlineStr">
        <is>
          <t>ÖREBRO LÄN</t>
        </is>
      </c>
      <c r="E1877" t="inlineStr">
        <is>
          <t>HÄLLEFORS</t>
        </is>
      </c>
      <c r="F1877" t="inlineStr">
        <is>
          <t>Bergvik skog väst AB</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62679-2022</t>
        </is>
      </c>
      <c r="B1878" s="1" t="n">
        <v>44917</v>
      </c>
      <c r="C1878" s="1" t="n">
        <v>45952</v>
      </c>
      <c r="D1878" t="inlineStr">
        <is>
          <t>ÖREBRO LÄN</t>
        </is>
      </c>
      <c r="E1878" t="inlineStr">
        <is>
          <t>LJUSNARSBERG</t>
        </is>
      </c>
      <c r="F1878" t="inlineStr">
        <is>
          <t>Bergvik skog väst AB</t>
        </is>
      </c>
      <c r="G1878" t="n">
        <v>2.6</v>
      </c>
      <c r="H1878" t="n">
        <v>0</v>
      </c>
      <c r="I1878" t="n">
        <v>0</v>
      </c>
      <c r="J1878" t="n">
        <v>0</v>
      </c>
      <c r="K1878" t="n">
        <v>0</v>
      </c>
      <c r="L1878" t="n">
        <v>0</v>
      </c>
      <c r="M1878" t="n">
        <v>0</v>
      </c>
      <c r="N1878" t="n">
        <v>0</v>
      </c>
      <c r="O1878" t="n">
        <v>0</v>
      </c>
      <c r="P1878" t="n">
        <v>0</v>
      </c>
      <c r="Q1878" t="n">
        <v>0</v>
      </c>
      <c r="R1878" s="2" t="inlineStr"/>
    </row>
    <row r="1879" ht="15" customHeight="1">
      <c r="A1879" t="inlineStr">
        <is>
          <t>A 59538-2023</t>
        </is>
      </c>
      <c r="B1879" s="1" t="n">
        <v>45254</v>
      </c>
      <c r="C1879" s="1" t="n">
        <v>45952</v>
      </c>
      <c r="D1879" t="inlineStr">
        <is>
          <t>ÖREBRO LÄN</t>
        </is>
      </c>
      <c r="E1879" t="inlineStr">
        <is>
          <t>ASKERSUND</t>
        </is>
      </c>
      <c r="G1879" t="n">
        <v>0.9</v>
      </c>
      <c r="H1879" t="n">
        <v>0</v>
      </c>
      <c r="I1879" t="n">
        <v>0</v>
      </c>
      <c r="J1879" t="n">
        <v>0</v>
      </c>
      <c r="K1879" t="n">
        <v>0</v>
      </c>
      <c r="L1879" t="n">
        <v>0</v>
      </c>
      <c r="M1879" t="n">
        <v>0</v>
      </c>
      <c r="N1879" t="n">
        <v>0</v>
      </c>
      <c r="O1879" t="n">
        <v>0</v>
      </c>
      <c r="P1879" t="n">
        <v>0</v>
      </c>
      <c r="Q1879" t="n">
        <v>0</v>
      </c>
      <c r="R1879" s="2" t="inlineStr"/>
    </row>
    <row r="1880" ht="15" customHeight="1">
      <c r="A1880" t="inlineStr">
        <is>
          <t>A 29112-2023</t>
        </is>
      </c>
      <c r="B1880" s="1" t="n">
        <v>45105.39409722222</v>
      </c>
      <c r="C1880" s="1" t="n">
        <v>45952</v>
      </c>
      <c r="D1880" t="inlineStr">
        <is>
          <t>ÖREBRO LÄN</t>
        </is>
      </c>
      <c r="E1880" t="inlineStr">
        <is>
          <t>NORA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46599-2024</t>
        </is>
      </c>
      <c r="B1881" s="1" t="n">
        <v>45582</v>
      </c>
      <c r="C1881" s="1" t="n">
        <v>45952</v>
      </c>
      <c r="D1881" t="inlineStr">
        <is>
          <t>ÖREBRO LÄN</t>
        </is>
      </c>
      <c r="E1881" t="inlineStr">
        <is>
          <t>HÄLLEFORS</t>
        </is>
      </c>
      <c r="F1881" t="inlineStr">
        <is>
          <t>Sveaskog</t>
        </is>
      </c>
      <c r="G1881" t="n">
        <v>10.1</v>
      </c>
      <c r="H1881" t="n">
        <v>0</v>
      </c>
      <c r="I1881" t="n">
        <v>0</v>
      </c>
      <c r="J1881" t="n">
        <v>0</v>
      </c>
      <c r="K1881" t="n">
        <v>0</v>
      </c>
      <c r="L1881" t="n">
        <v>0</v>
      </c>
      <c r="M1881" t="n">
        <v>0</v>
      </c>
      <c r="N1881" t="n">
        <v>0</v>
      </c>
      <c r="O1881" t="n">
        <v>0</v>
      </c>
      <c r="P1881" t="n">
        <v>0</v>
      </c>
      <c r="Q1881" t="n">
        <v>0</v>
      </c>
      <c r="R1881" s="2" t="inlineStr"/>
    </row>
    <row r="1882" ht="15" customHeight="1">
      <c r="A1882" t="inlineStr">
        <is>
          <t>A 6776-2025</t>
        </is>
      </c>
      <c r="B1882" s="1" t="n">
        <v>45700.64421296296</v>
      </c>
      <c r="C1882" s="1" t="n">
        <v>45952</v>
      </c>
      <c r="D1882" t="inlineStr">
        <is>
          <t>ÖREBRO LÄN</t>
        </is>
      </c>
      <c r="E1882" t="inlineStr">
        <is>
          <t>HALLSBERG</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64427-2021</t>
        </is>
      </c>
      <c r="B1883" s="1" t="n">
        <v>44511</v>
      </c>
      <c r="C1883" s="1" t="n">
        <v>45952</v>
      </c>
      <c r="D1883" t="inlineStr">
        <is>
          <t>ÖREBRO LÄN</t>
        </is>
      </c>
      <c r="E1883" t="inlineStr">
        <is>
          <t>LINDESBERG</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13001-2024</t>
        </is>
      </c>
      <c r="B1884" s="1" t="n">
        <v>45385.56900462963</v>
      </c>
      <c r="C1884" s="1" t="n">
        <v>45952</v>
      </c>
      <c r="D1884" t="inlineStr">
        <is>
          <t>ÖREBRO LÄN</t>
        </is>
      </c>
      <c r="E1884" t="inlineStr">
        <is>
          <t>LAXÅ</t>
        </is>
      </c>
      <c r="F1884" t="inlineStr">
        <is>
          <t>Sveaskog</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13823-2021</t>
        </is>
      </c>
      <c r="B1885" s="1" t="n">
        <v>44276</v>
      </c>
      <c r="C1885" s="1" t="n">
        <v>45952</v>
      </c>
      <c r="D1885" t="inlineStr">
        <is>
          <t>ÖREBRO LÄN</t>
        </is>
      </c>
      <c r="E1885" t="inlineStr">
        <is>
          <t>LINDESBERG</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57265-2024</t>
        </is>
      </c>
      <c r="B1886" s="1" t="n">
        <v>45629.56938657408</v>
      </c>
      <c r="C1886" s="1" t="n">
        <v>45952</v>
      </c>
      <c r="D1886" t="inlineStr">
        <is>
          <t>ÖREBRO LÄN</t>
        </is>
      </c>
      <c r="E1886" t="inlineStr">
        <is>
          <t>NORA</t>
        </is>
      </c>
      <c r="F1886" t="inlineStr">
        <is>
          <t>Sveaskog</t>
        </is>
      </c>
      <c r="G1886" t="n">
        <v>6.1</v>
      </c>
      <c r="H1886" t="n">
        <v>0</v>
      </c>
      <c r="I1886" t="n">
        <v>0</v>
      </c>
      <c r="J1886" t="n">
        <v>0</v>
      </c>
      <c r="K1886" t="n">
        <v>0</v>
      </c>
      <c r="L1886" t="n">
        <v>0</v>
      </c>
      <c r="M1886" t="n">
        <v>0</v>
      </c>
      <c r="N1886" t="n">
        <v>0</v>
      </c>
      <c r="O1886" t="n">
        <v>0</v>
      </c>
      <c r="P1886" t="n">
        <v>0</v>
      </c>
      <c r="Q1886" t="n">
        <v>0</v>
      </c>
      <c r="R1886" s="2" t="inlineStr"/>
    </row>
    <row r="1887" ht="15" customHeight="1">
      <c r="A1887" t="inlineStr">
        <is>
          <t>A 51239-2021</t>
        </is>
      </c>
      <c r="B1887" s="1" t="n">
        <v>44461.52310185185</v>
      </c>
      <c r="C1887" s="1" t="n">
        <v>45952</v>
      </c>
      <c r="D1887" t="inlineStr">
        <is>
          <t>ÖREBRO LÄN</t>
        </is>
      </c>
      <c r="E1887" t="inlineStr">
        <is>
          <t>ASKERSUND</t>
        </is>
      </c>
      <c r="F1887" t="inlineStr">
        <is>
          <t>Sveaskog</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48610-2023</t>
        </is>
      </c>
      <c r="B1888" s="1" t="n">
        <v>45208</v>
      </c>
      <c r="C1888" s="1" t="n">
        <v>45952</v>
      </c>
      <c r="D1888" t="inlineStr">
        <is>
          <t>ÖREBRO LÄN</t>
        </is>
      </c>
      <c r="E1888" t="inlineStr">
        <is>
          <t>NORA</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2152-2023</t>
        </is>
      </c>
      <c r="B1889" s="1" t="n">
        <v>44941.55056712963</v>
      </c>
      <c r="C1889" s="1" t="n">
        <v>45952</v>
      </c>
      <c r="D1889" t="inlineStr">
        <is>
          <t>ÖREBRO LÄN</t>
        </is>
      </c>
      <c r="E1889" t="inlineStr">
        <is>
          <t>ÖREBRO</t>
        </is>
      </c>
      <c r="G1889" t="n">
        <v>8</v>
      </c>
      <c r="H1889" t="n">
        <v>0</v>
      </c>
      <c r="I1889" t="n">
        <v>0</v>
      </c>
      <c r="J1889" t="n">
        <v>0</v>
      </c>
      <c r="K1889" t="n">
        <v>0</v>
      </c>
      <c r="L1889" t="n">
        <v>0</v>
      </c>
      <c r="M1889" t="n">
        <v>0</v>
      </c>
      <c r="N1889" t="n">
        <v>0</v>
      </c>
      <c r="O1889" t="n">
        <v>0</v>
      </c>
      <c r="P1889" t="n">
        <v>0</v>
      </c>
      <c r="Q1889" t="n">
        <v>0</v>
      </c>
      <c r="R1889" s="2" t="inlineStr"/>
    </row>
    <row r="1890" ht="15" customHeight="1">
      <c r="A1890" t="inlineStr">
        <is>
          <t>A 8656-2025</t>
        </is>
      </c>
      <c r="B1890" s="1" t="n">
        <v>45712.38268518518</v>
      </c>
      <c r="C1890" s="1" t="n">
        <v>45952</v>
      </c>
      <c r="D1890" t="inlineStr">
        <is>
          <t>ÖREBRO LÄN</t>
        </is>
      </c>
      <c r="E1890" t="inlineStr">
        <is>
          <t>ÖREBRO</t>
        </is>
      </c>
      <c r="G1890" t="n">
        <v>2.7</v>
      </c>
      <c r="H1890" t="n">
        <v>0</v>
      </c>
      <c r="I1890" t="n">
        <v>0</v>
      </c>
      <c r="J1890" t="n">
        <v>0</v>
      </c>
      <c r="K1890" t="n">
        <v>0</v>
      </c>
      <c r="L1890" t="n">
        <v>0</v>
      </c>
      <c r="M1890" t="n">
        <v>0</v>
      </c>
      <c r="N1890" t="n">
        <v>0</v>
      </c>
      <c r="O1890" t="n">
        <v>0</v>
      </c>
      <c r="P1890" t="n">
        <v>0</v>
      </c>
      <c r="Q1890" t="n">
        <v>0</v>
      </c>
      <c r="R1890" s="2" t="inlineStr"/>
    </row>
    <row r="1891" ht="15" customHeight="1">
      <c r="A1891" t="inlineStr">
        <is>
          <t>A 47620-2023</t>
        </is>
      </c>
      <c r="B1891" s="1" t="n">
        <v>45203.510625</v>
      </c>
      <c r="C1891" s="1" t="n">
        <v>45952</v>
      </c>
      <c r="D1891" t="inlineStr">
        <is>
          <t>ÖREBRO LÄN</t>
        </is>
      </c>
      <c r="E1891" t="inlineStr">
        <is>
          <t>LINDESBERG</t>
        </is>
      </c>
      <c r="G1891" t="n">
        <v>2.7</v>
      </c>
      <c r="H1891" t="n">
        <v>0</v>
      </c>
      <c r="I1891" t="n">
        <v>0</v>
      </c>
      <c r="J1891" t="n">
        <v>0</v>
      </c>
      <c r="K1891" t="n">
        <v>0</v>
      </c>
      <c r="L1891" t="n">
        <v>0</v>
      </c>
      <c r="M1891" t="n">
        <v>0</v>
      </c>
      <c r="N1891" t="n">
        <v>0</v>
      </c>
      <c r="O1891" t="n">
        <v>0</v>
      </c>
      <c r="P1891" t="n">
        <v>0</v>
      </c>
      <c r="Q1891" t="n">
        <v>0</v>
      </c>
      <c r="R1891" s="2" t="inlineStr"/>
    </row>
    <row r="1892" ht="15" customHeight="1">
      <c r="A1892" t="inlineStr">
        <is>
          <t>A 43535-2023</t>
        </is>
      </c>
      <c r="B1892" s="1" t="n">
        <v>45184</v>
      </c>
      <c r="C1892" s="1" t="n">
        <v>45952</v>
      </c>
      <c r="D1892" t="inlineStr">
        <is>
          <t>ÖREBRO LÄN</t>
        </is>
      </c>
      <c r="E1892" t="inlineStr">
        <is>
          <t>NORA</t>
        </is>
      </c>
      <c r="G1892" t="n">
        <v>6.4</v>
      </c>
      <c r="H1892" t="n">
        <v>0</v>
      </c>
      <c r="I1892" t="n">
        <v>0</v>
      </c>
      <c r="J1892" t="n">
        <v>0</v>
      </c>
      <c r="K1892" t="n">
        <v>0</v>
      </c>
      <c r="L1892" t="n">
        <v>0</v>
      </c>
      <c r="M1892" t="n">
        <v>0</v>
      </c>
      <c r="N1892" t="n">
        <v>0</v>
      </c>
      <c r="O1892" t="n">
        <v>0</v>
      </c>
      <c r="P1892" t="n">
        <v>0</v>
      </c>
      <c r="Q1892" t="n">
        <v>0</v>
      </c>
      <c r="R1892" s="2" t="inlineStr"/>
    </row>
    <row r="1893" ht="15" customHeight="1">
      <c r="A1893" t="inlineStr">
        <is>
          <t>A 57944-2024</t>
        </is>
      </c>
      <c r="B1893" s="1" t="n">
        <v>45631</v>
      </c>
      <c r="C1893" s="1" t="n">
        <v>45952</v>
      </c>
      <c r="D1893" t="inlineStr">
        <is>
          <t>ÖREBRO LÄN</t>
        </is>
      </c>
      <c r="E1893" t="inlineStr">
        <is>
          <t>KUMLA</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33577-2023</t>
        </is>
      </c>
      <c r="B1894" s="1" t="n">
        <v>45131</v>
      </c>
      <c r="C1894" s="1" t="n">
        <v>45952</v>
      </c>
      <c r="D1894" t="inlineStr">
        <is>
          <t>ÖREBRO LÄN</t>
        </is>
      </c>
      <c r="E1894" t="inlineStr">
        <is>
          <t>ÖREBRO</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35675-2023</t>
        </is>
      </c>
      <c r="B1895" s="1" t="n">
        <v>45147</v>
      </c>
      <c r="C1895" s="1" t="n">
        <v>45952</v>
      </c>
      <c r="D1895" t="inlineStr">
        <is>
          <t>ÖREBRO LÄN</t>
        </is>
      </c>
      <c r="E1895" t="inlineStr">
        <is>
          <t>NORA</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623-2023</t>
        </is>
      </c>
      <c r="B1896" s="1" t="n">
        <v>44930</v>
      </c>
      <c r="C1896" s="1" t="n">
        <v>45952</v>
      </c>
      <c r="D1896" t="inlineStr">
        <is>
          <t>ÖREBRO LÄN</t>
        </is>
      </c>
      <c r="E1896" t="inlineStr">
        <is>
          <t>HÄLLEFORS</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15188-2025</t>
        </is>
      </c>
      <c r="B1897" s="1" t="n">
        <v>45744.55122685185</v>
      </c>
      <c r="C1897" s="1" t="n">
        <v>45952</v>
      </c>
      <c r="D1897" t="inlineStr">
        <is>
          <t>ÖREBRO LÄN</t>
        </is>
      </c>
      <c r="E1897" t="inlineStr">
        <is>
          <t>KARLSKOGA</t>
        </is>
      </c>
      <c r="F1897" t="inlineStr">
        <is>
          <t>Övriga Aktiebolag</t>
        </is>
      </c>
      <c r="G1897" t="n">
        <v>11.8</v>
      </c>
      <c r="H1897" t="n">
        <v>0</v>
      </c>
      <c r="I1897" t="n">
        <v>0</v>
      </c>
      <c r="J1897" t="n">
        <v>0</v>
      </c>
      <c r="K1897" t="n">
        <v>0</v>
      </c>
      <c r="L1897" t="n">
        <v>0</v>
      </c>
      <c r="M1897" t="n">
        <v>0</v>
      </c>
      <c r="N1897" t="n">
        <v>0</v>
      </c>
      <c r="O1897" t="n">
        <v>0</v>
      </c>
      <c r="P1897" t="n">
        <v>0</v>
      </c>
      <c r="Q1897" t="n">
        <v>0</v>
      </c>
      <c r="R1897" s="2" t="inlineStr"/>
    </row>
    <row r="1898" ht="15" customHeight="1">
      <c r="A1898" t="inlineStr">
        <is>
          <t>A 29350-2022</t>
        </is>
      </c>
      <c r="B1898" s="1" t="n">
        <v>44753</v>
      </c>
      <c r="C1898" s="1" t="n">
        <v>45952</v>
      </c>
      <c r="D1898" t="inlineStr">
        <is>
          <t>ÖREBRO LÄN</t>
        </is>
      </c>
      <c r="E1898" t="inlineStr">
        <is>
          <t>LINDESBERG</t>
        </is>
      </c>
      <c r="G1898" t="n">
        <v>7.7</v>
      </c>
      <c r="H1898" t="n">
        <v>0</v>
      </c>
      <c r="I1898" t="n">
        <v>0</v>
      </c>
      <c r="J1898" t="n">
        <v>0</v>
      </c>
      <c r="K1898" t="n">
        <v>0</v>
      </c>
      <c r="L1898" t="n">
        <v>0</v>
      </c>
      <c r="M1898" t="n">
        <v>0</v>
      </c>
      <c r="N1898" t="n">
        <v>0</v>
      </c>
      <c r="O1898" t="n">
        <v>0</v>
      </c>
      <c r="P1898" t="n">
        <v>0</v>
      </c>
      <c r="Q1898" t="n">
        <v>0</v>
      </c>
      <c r="R1898" s="2" t="inlineStr"/>
    </row>
    <row r="1899" ht="15" customHeight="1">
      <c r="A1899" t="inlineStr">
        <is>
          <t>A 39867-2024</t>
        </is>
      </c>
      <c r="B1899" s="1" t="n">
        <v>45553.46100694445</v>
      </c>
      <c r="C1899" s="1" t="n">
        <v>45952</v>
      </c>
      <c r="D1899" t="inlineStr">
        <is>
          <t>ÖREBRO LÄN</t>
        </is>
      </c>
      <c r="E1899" t="inlineStr">
        <is>
          <t>LEKEBERG</t>
        </is>
      </c>
      <c r="F1899" t="inlineStr">
        <is>
          <t>Sveaskog</t>
        </is>
      </c>
      <c r="G1899" t="n">
        <v>4.6</v>
      </c>
      <c r="H1899" t="n">
        <v>0</v>
      </c>
      <c r="I1899" t="n">
        <v>0</v>
      </c>
      <c r="J1899" t="n">
        <v>0</v>
      </c>
      <c r="K1899" t="n">
        <v>0</v>
      </c>
      <c r="L1899" t="n">
        <v>0</v>
      </c>
      <c r="M1899" t="n">
        <v>0</v>
      </c>
      <c r="N1899" t="n">
        <v>0</v>
      </c>
      <c r="O1899" t="n">
        <v>0</v>
      </c>
      <c r="P1899" t="n">
        <v>0</v>
      </c>
      <c r="Q1899" t="n">
        <v>0</v>
      </c>
      <c r="R1899" s="2" t="inlineStr"/>
    </row>
    <row r="1900" ht="15" customHeight="1">
      <c r="A1900" t="inlineStr">
        <is>
          <t>A 55353-2024</t>
        </is>
      </c>
      <c r="B1900" s="1" t="n">
        <v>45621.79526620371</v>
      </c>
      <c r="C1900" s="1" t="n">
        <v>45952</v>
      </c>
      <c r="D1900" t="inlineStr">
        <is>
          <t>ÖREBRO LÄN</t>
        </is>
      </c>
      <c r="E1900" t="inlineStr">
        <is>
          <t>ÖREBRO</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55357-2024</t>
        </is>
      </c>
      <c r="B1901" s="1" t="n">
        <v>45621.81126157408</v>
      </c>
      <c r="C1901" s="1" t="n">
        <v>45952</v>
      </c>
      <c r="D1901" t="inlineStr">
        <is>
          <t>ÖREBRO LÄN</t>
        </is>
      </c>
      <c r="E1901" t="inlineStr">
        <is>
          <t>ÖREBRO</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38489-2023</t>
        </is>
      </c>
      <c r="B1902" s="1" t="n">
        <v>45162</v>
      </c>
      <c r="C1902" s="1" t="n">
        <v>45952</v>
      </c>
      <c r="D1902" t="inlineStr">
        <is>
          <t>ÖREBRO LÄN</t>
        </is>
      </c>
      <c r="E1902" t="inlineStr">
        <is>
          <t>ÖREBRO</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34206-2022</t>
        </is>
      </c>
      <c r="B1903" s="1" t="n">
        <v>44791.65267361111</v>
      </c>
      <c r="C1903" s="1" t="n">
        <v>45952</v>
      </c>
      <c r="D1903" t="inlineStr">
        <is>
          <t>ÖREBRO LÄN</t>
        </is>
      </c>
      <c r="E1903" t="inlineStr">
        <is>
          <t>NORA</t>
        </is>
      </c>
      <c r="F1903" t="inlineStr">
        <is>
          <t>Sveaskog</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12060-2024</t>
        </is>
      </c>
      <c r="B1904" s="1" t="n">
        <v>45377.49229166667</v>
      </c>
      <c r="C1904" s="1" t="n">
        <v>45952</v>
      </c>
      <c r="D1904" t="inlineStr">
        <is>
          <t>ÖREBRO LÄN</t>
        </is>
      </c>
      <c r="E1904" t="inlineStr">
        <is>
          <t>LAXÅ</t>
        </is>
      </c>
      <c r="F1904" t="inlineStr">
        <is>
          <t>Sveaskog</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39257-2023</t>
        </is>
      </c>
      <c r="B1905" s="1" t="n">
        <v>45166.48097222222</v>
      </c>
      <c r="C1905" s="1" t="n">
        <v>45952</v>
      </c>
      <c r="D1905" t="inlineStr">
        <is>
          <t>ÖREBRO LÄN</t>
        </is>
      </c>
      <c r="E1905" t="inlineStr">
        <is>
          <t>NORA</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53352-2023</t>
        </is>
      </c>
      <c r="B1906" s="1" t="n">
        <v>45229.66262731481</v>
      </c>
      <c r="C1906" s="1" t="n">
        <v>45952</v>
      </c>
      <c r="D1906" t="inlineStr">
        <is>
          <t>ÖREBRO LÄN</t>
        </is>
      </c>
      <c r="E1906" t="inlineStr">
        <is>
          <t>LINDESBERG</t>
        </is>
      </c>
      <c r="F1906" t="inlineStr">
        <is>
          <t>Sveaskog</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23263-2022</t>
        </is>
      </c>
      <c r="B1907" s="1" t="n">
        <v>44720.40815972222</v>
      </c>
      <c r="C1907" s="1" t="n">
        <v>45952</v>
      </c>
      <c r="D1907" t="inlineStr">
        <is>
          <t>ÖREBRO LÄN</t>
        </is>
      </c>
      <c r="E1907" t="inlineStr">
        <is>
          <t>KARLSKOGA</t>
        </is>
      </c>
      <c r="G1907" t="n">
        <v>2.2</v>
      </c>
      <c r="H1907" t="n">
        <v>0</v>
      </c>
      <c r="I1907" t="n">
        <v>0</v>
      </c>
      <c r="J1907" t="n">
        <v>0</v>
      </c>
      <c r="K1907" t="n">
        <v>0</v>
      </c>
      <c r="L1907" t="n">
        <v>0</v>
      </c>
      <c r="M1907" t="n">
        <v>0</v>
      </c>
      <c r="N1907" t="n">
        <v>0</v>
      </c>
      <c r="O1907" t="n">
        <v>0</v>
      </c>
      <c r="P1907" t="n">
        <v>0</v>
      </c>
      <c r="Q1907" t="n">
        <v>0</v>
      </c>
      <c r="R1907" s="2" t="inlineStr"/>
    </row>
    <row r="1908" ht="15" customHeight="1">
      <c r="A1908" t="inlineStr">
        <is>
          <t>A 61677-2022</t>
        </is>
      </c>
      <c r="B1908" s="1" t="n">
        <v>44917.35619212963</v>
      </c>
      <c r="C1908" s="1" t="n">
        <v>45952</v>
      </c>
      <c r="D1908" t="inlineStr">
        <is>
          <t>ÖREBRO LÄN</t>
        </is>
      </c>
      <c r="E1908" t="inlineStr">
        <is>
          <t>LAXÅ</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38177-2023</t>
        </is>
      </c>
      <c r="B1909" s="1" t="n">
        <v>45161.44978009259</v>
      </c>
      <c r="C1909" s="1" t="n">
        <v>45952</v>
      </c>
      <c r="D1909" t="inlineStr">
        <is>
          <t>ÖREBRO LÄN</t>
        </is>
      </c>
      <c r="E1909" t="inlineStr">
        <is>
          <t>NORA</t>
        </is>
      </c>
      <c r="G1909" t="n">
        <v>8.5</v>
      </c>
      <c r="H1909" t="n">
        <v>0</v>
      </c>
      <c r="I1909" t="n">
        <v>0</v>
      </c>
      <c r="J1909" t="n">
        <v>0</v>
      </c>
      <c r="K1909" t="n">
        <v>0</v>
      </c>
      <c r="L1909" t="n">
        <v>0</v>
      </c>
      <c r="M1909" t="n">
        <v>0</v>
      </c>
      <c r="N1909" t="n">
        <v>0</v>
      </c>
      <c r="O1909" t="n">
        <v>0</v>
      </c>
      <c r="P1909" t="n">
        <v>0</v>
      </c>
      <c r="Q1909" t="n">
        <v>0</v>
      </c>
      <c r="R1909" s="2" t="inlineStr"/>
    </row>
    <row r="1910" ht="15" customHeight="1">
      <c r="A1910" t="inlineStr">
        <is>
          <t>A 36437-2024</t>
        </is>
      </c>
      <c r="B1910" s="1" t="n">
        <v>45535</v>
      </c>
      <c r="C1910" s="1" t="n">
        <v>45952</v>
      </c>
      <c r="D1910" t="inlineStr">
        <is>
          <t>ÖREBRO LÄN</t>
        </is>
      </c>
      <c r="E1910" t="inlineStr">
        <is>
          <t>DEGERFORS</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10836-2024</t>
        </is>
      </c>
      <c r="B1911" s="1" t="n">
        <v>45369</v>
      </c>
      <c r="C1911" s="1" t="n">
        <v>45952</v>
      </c>
      <c r="D1911" t="inlineStr">
        <is>
          <t>ÖREBRO LÄN</t>
        </is>
      </c>
      <c r="E1911" t="inlineStr">
        <is>
          <t>LINDESBERG</t>
        </is>
      </c>
      <c r="G1911" t="n">
        <v>2.8</v>
      </c>
      <c r="H1911" t="n">
        <v>0</v>
      </c>
      <c r="I1911" t="n">
        <v>0</v>
      </c>
      <c r="J1911" t="n">
        <v>0</v>
      </c>
      <c r="K1911" t="n">
        <v>0</v>
      </c>
      <c r="L1911" t="n">
        <v>0</v>
      </c>
      <c r="M1911" t="n">
        <v>0</v>
      </c>
      <c r="N1911" t="n">
        <v>0</v>
      </c>
      <c r="O1911" t="n">
        <v>0</v>
      </c>
      <c r="P1911" t="n">
        <v>0</v>
      </c>
      <c r="Q1911" t="n">
        <v>0</v>
      </c>
      <c r="R1911" s="2" t="inlineStr"/>
    </row>
    <row r="1912" ht="15" customHeight="1">
      <c r="A1912" t="inlineStr">
        <is>
          <t>A 48746-2023</t>
        </is>
      </c>
      <c r="B1912" s="1" t="n">
        <v>45208</v>
      </c>
      <c r="C1912" s="1" t="n">
        <v>45952</v>
      </c>
      <c r="D1912" t="inlineStr">
        <is>
          <t>ÖREBRO LÄN</t>
        </is>
      </c>
      <c r="E1912" t="inlineStr">
        <is>
          <t>ASKERSUND</t>
        </is>
      </c>
      <c r="F1912" t="inlineStr">
        <is>
          <t>Sveaskog</t>
        </is>
      </c>
      <c r="G1912" t="n">
        <v>4.7</v>
      </c>
      <c r="H1912" t="n">
        <v>0</v>
      </c>
      <c r="I1912" t="n">
        <v>0</v>
      </c>
      <c r="J1912" t="n">
        <v>0</v>
      </c>
      <c r="K1912" t="n">
        <v>0</v>
      </c>
      <c r="L1912" t="n">
        <v>0</v>
      </c>
      <c r="M1912" t="n">
        <v>0</v>
      </c>
      <c r="N1912" t="n">
        <v>0</v>
      </c>
      <c r="O1912" t="n">
        <v>0</v>
      </c>
      <c r="P1912" t="n">
        <v>0</v>
      </c>
      <c r="Q1912" t="n">
        <v>0</v>
      </c>
      <c r="R1912" s="2" t="inlineStr"/>
    </row>
    <row r="1913" ht="15" customHeight="1">
      <c r="A1913" t="inlineStr">
        <is>
          <t>A 18550-2025</t>
        </is>
      </c>
      <c r="B1913" s="1" t="n">
        <v>45763.43422453704</v>
      </c>
      <c r="C1913" s="1" t="n">
        <v>45952</v>
      </c>
      <c r="D1913" t="inlineStr">
        <is>
          <t>ÖREBRO LÄN</t>
        </is>
      </c>
      <c r="E1913" t="inlineStr">
        <is>
          <t>ÖREBRO</t>
        </is>
      </c>
      <c r="G1913" t="n">
        <v>11.5</v>
      </c>
      <c r="H1913" t="n">
        <v>0</v>
      </c>
      <c r="I1913" t="n">
        <v>0</v>
      </c>
      <c r="J1913" t="n">
        <v>0</v>
      </c>
      <c r="K1913" t="n">
        <v>0</v>
      </c>
      <c r="L1913" t="n">
        <v>0</v>
      </c>
      <c r="M1913" t="n">
        <v>0</v>
      </c>
      <c r="N1913" t="n">
        <v>0</v>
      </c>
      <c r="O1913" t="n">
        <v>0</v>
      </c>
      <c r="P1913" t="n">
        <v>0</v>
      </c>
      <c r="Q1913" t="n">
        <v>0</v>
      </c>
      <c r="R1913" s="2" t="inlineStr"/>
    </row>
    <row r="1914" ht="15" customHeight="1">
      <c r="A1914" t="inlineStr">
        <is>
          <t>A 18582-2025</t>
        </is>
      </c>
      <c r="B1914" s="1" t="n">
        <v>45763</v>
      </c>
      <c r="C1914" s="1" t="n">
        <v>45952</v>
      </c>
      <c r="D1914" t="inlineStr">
        <is>
          <t>ÖREBRO LÄN</t>
        </is>
      </c>
      <c r="E1914" t="inlineStr">
        <is>
          <t>HÄLLEFORS</t>
        </is>
      </c>
      <c r="F1914" t="inlineStr">
        <is>
          <t>Bergvik skog väst AB</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19763-2024</t>
        </is>
      </c>
      <c r="B1915" s="1" t="n">
        <v>45432</v>
      </c>
      <c r="C1915" s="1" t="n">
        <v>45952</v>
      </c>
      <c r="D1915" t="inlineStr">
        <is>
          <t>ÖREBRO LÄN</t>
        </is>
      </c>
      <c r="E1915" t="inlineStr">
        <is>
          <t>ÖREBRO</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56394-2024</t>
        </is>
      </c>
      <c r="B1916" s="1" t="n">
        <v>45625.34609953704</v>
      </c>
      <c r="C1916" s="1" t="n">
        <v>45952</v>
      </c>
      <c r="D1916" t="inlineStr">
        <is>
          <t>ÖREBRO LÄN</t>
        </is>
      </c>
      <c r="E1916" t="inlineStr">
        <is>
          <t>ASKERSUND</t>
        </is>
      </c>
      <c r="F1916" t="inlineStr">
        <is>
          <t>Sveaskog</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33929-2023</t>
        </is>
      </c>
      <c r="B1917" s="1" t="n">
        <v>45134.49677083334</v>
      </c>
      <c r="C1917" s="1" t="n">
        <v>45952</v>
      </c>
      <c r="D1917" t="inlineStr">
        <is>
          <t>ÖREBRO LÄN</t>
        </is>
      </c>
      <c r="E1917" t="inlineStr">
        <is>
          <t>LAXÅ</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33930-2023</t>
        </is>
      </c>
      <c r="B1918" s="1" t="n">
        <v>45134.49881944444</v>
      </c>
      <c r="C1918" s="1" t="n">
        <v>45952</v>
      </c>
      <c r="D1918" t="inlineStr">
        <is>
          <t>ÖREBRO LÄN</t>
        </is>
      </c>
      <c r="E1918" t="inlineStr">
        <is>
          <t>LAXÅ</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1360-2022</t>
        </is>
      </c>
      <c r="B1919" s="1" t="n">
        <v>44573</v>
      </c>
      <c r="C1919" s="1" t="n">
        <v>45952</v>
      </c>
      <c r="D1919" t="inlineStr">
        <is>
          <t>ÖREBRO LÄN</t>
        </is>
      </c>
      <c r="E1919" t="inlineStr">
        <is>
          <t>ASKERSUND</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42623-2022</t>
        </is>
      </c>
      <c r="B1920" s="1" t="n">
        <v>44831</v>
      </c>
      <c r="C1920" s="1" t="n">
        <v>45952</v>
      </c>
      <c r="D1920" t="inlineStr">
        <is>
          <t>ÖREBRO LÄN</t>
        </is>
      </c>
      <c r="E1920" t="inlineStr">
        <is>
          <t>ÖREBRO</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14545-2023</t>
        </is>
      </c>
      <c r="B1921" s="1" t="n">
        <v>45013.34895833334</v>
      </c>
      <c r="C1921" s="1" t="n">
        <v>45952</v>
      </c>
      <c r="D1921" t="inlineStr">
        <is>
          <t>ÖREBRO LÄN</t>
        </is>
      </c>
      <c r="E1921" t="inlineStr">
        <is>
          <t>ÖREBRO</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12699-2023</t>
        </is>
      </c>
      <c r="B1922" s="1" t="n">
        <v>45000</v>
      </c>
      <c r="C1922" s="1" t="n">
        <v>45952</v>
      </c>
      <c r="D1922" t="inlineStr">
        <is>
          <t>ÖREBRO LÄN</t>
        </is>
      </c>
      <c r="E1922" t="inlineStr">
        <is>
          <t>NORA</t>
        </is>
      </c>
      <c r="F1922" t="inlineStr">
        <is>
          <t>Sveaskog</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1662-2024</t>
        </is>
      </c>
      <c r="B1923" s="1" t="n">
        <v>45306</v>
      </c>
      <c r="C1923" s="1" t="n">
        <v>45952</v>
      </c>
      <c r="D1923" t="inlineStr">
        <is>
          <t>ÖREBRO LÄN</t>
        </is>
      </c>
      <c r="E1923" t="inlineStr">
        <is>
          <t>LAXÅ</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53510-2024</t>
        </is>
      </c>
      <c r="B1924" s="1" t="n">
        <v>45614.5968287037</v>
      </c>
      <c r="C1924" s="1" t="n">
        <v>45952</v>
      </c>
      <c r="D1924" t="inlineStr">
        <is>
          <t>ÖREBRO LÄN</t>
        </is>
      </c>
      <c r="E1924" t="inlineStr">
        <is>
          <t>LINDESBERG</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53620-2024</t>
        </is>
      </c>
      <c r="B1925" s="1" t="n">
        <v>45614.73983796296</v>
      </c>
      <c r="C1925" s="1" t="n">
        <v>45952</v>
      </c>
      <c r="D1925" t="inlineStr">
        <is>
          <t>ÖREBRO LÄN</t>
        </is>
      </c>
      <c r="E1925" t="inlineStr">
        <is>
          <t>KARLSKOGA</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54917-2023</t>
        </is>
      </c>
      <c r="B1926" s="1" t="n">
        <v>45229</v>
      </c>
      <c r="C1926" s="1" t="n">
        <v>45952</v>
      </c>
      <c r="D1926" t="inlineStr">
        <is>
          <t>ÖREBRO LÄN</t>
        </is>
      </c>
      <c r="E1926" t="inlineStr">
        <is>
          <t>ÖREBRO</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38583-2023</t>
        </is>
      </c>
      <c r="B1927" s="1" t="n">
        <v>45162.62861111111</v>
      </c>
      <c r="C1927" s="1" t="n">
        <v>45952</v>
      </c>
      <c r="D1927" t="inlineStr">
        <is>
          <t>ÖREBRO LÄN</t>
        </is>
      </c>
      <c r="E1927" t="inlineStr">
        <is>
          <t>ÖREBRO</t>
        </is>
      </c>
      <c r="G1927" t="n">
        <v>5.7</v>
      </c>
      <c r="H1927" t="n">
        <v>0</v>
      </c>
      <c r="I1927" t="n">
        <v>0</v>
      </c>
      <c r="J1927" t="n">
        <v>0</v>
      </c>
      <c r="K1927" t="n">
        <v>0</v>
      </c>
      <c r="L1927" t="n">
        <v>0</v>
      </c>
      <c r="M1927" t="n">
        <v>0</v>
      </c>
      <c r="N1927" t="n">
        <v>0</v>
      </c>
      <c r="O1927" t="n">
        <v>0</v>
      </c>
      <c r="P1927" t="n">
        <v>0</v>
      </c>
      <c r="Q1927" t="n">
        <v>0</v>
      </c>
      <c r="R1927" s="2" t="inlineStr"/>
    </row>
    <row r="1928" ht="15" customHeight="1">
      <c r="A1928" t="inlineStr">
        <is>
          <t>A 72329-2021</t>
        </is>
      </c>
      <c r="B1928" s="1" t="n">
        <v>44545.46072916667</v>
      </c>
      <c r="C1928" s="1" t="n">
        <v>45952</v>
      </c>
      <c r="D1928" t="inlineStr">
        <is>
          <t>ÖREBRO LÄN</t>
        </is>
      </c>
      <c r="E1928" t="inlineStr">
        <is>
          <t>ÖREBRO</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38620-2023</t>
        </is>
      </c>
      <c r="B1929" s="1" t="n">
        <v>45160</v>
      </c>
      <c r="C1929" s="1" t="n">
        <v>45952</v>
      </c>
      <c r="D1929" t="inlineStr">
        <is>
          <t>ÖREBRO LÄN</t>
        </is>
      </c>
      <c r="E1929" t="inlineStr">
        <is>
          <t>LAXÅ</t>
        </is>
      </c>
      <c r="G1929" t="n">
        <v>3.2</v>
      </c>
      <c r="H1929" t="n">
        <v>0</v>
      </c>
      <c r="I1929" t="n">
        <v>0</v>
      </c>
      <c r="J1929" t="n">
        <v>0</v>
      </c>
      <c r="K1929" t="n">
        <v>0</v>
      </c>
      <c r="L1929" t="n">
        <v>0</v>
      </c>
      <c r="M1929" t="n">
        <v>0</v>
      </c>
      <c r="N1929" t="n">
        <v>0</v>
      </c>
      <c r="O1929" t="n">
        <v>0</v>
      </c>
      <c r="P1929" t="n">
        <v>0</v>
      </c>
      <c r="Q1929" t="n">
        <v>0</v>
      </c>
      <c r="R1929" s="2" t="inlineStr"/>
    </row>
    <row r="1930" ht="15" customHeight="1">
      <c r="A1930" t="inlineStr">
        <is>
          <t>A 14432-2023</t>
        </is>
      </c>
      <c r="B1930" s="1" t="n">
        <v>45012</v>
      </c>
      <c r="C1930" s="1" t="n">
        <v>45952</v>
      </c>
      <c r="D1930" t="inlineStr">
        <is>
          <t>ÖREBRO LÄN</t>
        </is>
      </c>
      <c r="E1930" t="inlineStr">
        <is>
          <t>ÖREBRO</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21764-2022</t>
        </is>
      </c>
      <c r="B1931" s="1" t="n">
        <v>44708.45179398148</v>
      </c>
      <c r="C1931" s="1" t="n">
        <v>45952</v>
      </c>
      <c r="D1931" t="inlineStr">
        <is>
          <t>ÖREBRO LÄN</t>
        </is>
      </c>
      <c r="E1931" t="inlineStr">
        <is>
          <t>LAXÅ</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18512-2022</t>
        </is>
      </c>
      <c r="B1932" s="1" t="n">
        <v>44686.66105324074</v>
      </c>
      <c r="C1932" s="1" t="n">
        <v>45952</v>
      </c>
      <c r="D1932" t="inlineStr">
        <is>
          <t>ÖREBRO LÄN</t>
        </is>
      </c>
      <c r="E1932" t="inlineStr">
        <is>
          <t>HALLSBERG</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25972-2022</t>
        </is>
      </c>
      <c r="B1933" s="1" t="n">
        <v>44734</v>
      </c>
      <c r="C1933" s="1" t="n">
        <v>45952</v>
      </c>
      <c r="D1933" t="inlineStr">
        <is>
          <t>ÖREBRO LÄN</t>
        </is>
      </c>
      <c r="E1933" t="inlineStr">
        <is>
          <t>ASKERSUND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49215-2022</t>
        </is>
      </c>
      <c r="B1934" s="1" t="n">
        <v>44861</v>
      </c>
      <c r="C1934" s="1" t="n">
        <v>45952</v>
      </c>
      <c r="D1934" t="inlineStr">
        <is>
          <t>ÖREBRO LÄN</t>
        </is>
      </c>
      <c r="E1934" t="inlineStr">
        <is>
          <t>HÄLLEFORS</t>
        </is>
      </c>
      <c r="F1934" t="inlineStr">
        <is>
          <t>Bergvik skog väst AB</t>
        </is>
      </c>
      <c r="G1934" t="n">
        <v>9</v>
      </c>
      <c r="H1934" t="n">
        <v>0</v>
      </c>
      <c r="I1934" t="n">
        <v>0</v>
      </c>
      <c r="J1934" t="n">
        <v>0</v>
      </c>
      <c r="K1934" t="n">
        <v>0</v>
      </c>
      <c r="L1934" t="n">
        <v>0</v>
      </c>
      <c r="M1934" t="n">
        <v>0</v>
      </c>
      <c r="N1934" t="n">
        <v>0</v>
      </c>
      <c r="O1934" t="n">
        <v>0</v>
      </c>
      <c r="P1934" t="n">
        <v>0</v>
      </c>
      <c r="Q1934" t="n">
        <v>0</v>
      </c>
      <c r="R1934" s="2" t="inlineStr"/>
    </row>
    <row r="1935" ht="15" customHeight="1">
      <c r="A1935" t="inlineStr">
        <is>
          <t>A 30603-2021</t>
        </is>
      </c>
      <c r="B1935" s="1" t="n">
        <v>44365.28403935185</v>
      </c>
      <c r="C1935" s="1" t="n">
        <v>45952</v>
      </c>
      <c r="D1935" t="inlineStr">
        <is>
          <t>ÖREBRO LÄN</t>
        </is>
      </c>
      <c r="E1935" t="inlineStr">
        <is>
          <t>LEKEBERG</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33963-2023</t>
        </is>
      </c>
      <c r="B1936" s="1" t="n">
        <v>45134.62525462963</v>
      </c>
      <c r="C1936" s="1" t="n">
        <v>45952</v>
      </c>
      <c r="D1936" t="inlineStr">
        <is>
          <t>ÖREBRO LÄN</t>
        </is>
      </c>
      <c r="E1936" t="inlineStr">
        <is>
          <t>LEKEBERG</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33974-2023</t>
        </is>
      </c>
      <c r="B1937" s="1" t="n">
        <v>45124</v>
      </c>
      <c r="C1937" s="1" t="n">
        <v>45952</v>
      </c>
      <c r="D1937" t="inlineStr">
        <is>
          <t>ÖREBRO LÄN</t>
        </is>
      </c>
      <c r="E1937" t="inlineStr">
        <is>
          <t>LJUSNARSBERG</t>
        </is>
      </c>
      <c r="F1937" t="inlineStr">
        <is>
          <t>Bergvik skog väst AB</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31506-2023</t>
        </is>
      </c>
      <c r="B1938" s="1" t="n">
        <v>45115</v>
      </c>
      <c r="C1938" s="1" t="n">
        <v>45952</v>
      </c>
      <c r="D1938" t="inlineStr">
        <is>
          <t>ÖREBRO LÄN</t>
        </is>
      </c>
      <c r="E1938" t="inlineStr">
        <is>
          <t>ASKERSUND</t>
        </is>
      </c>
      <c r="F1938" t="inlineStr">
        <is>
          <t>Sveaskog</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31509-2023</t>
        </is>
      </c>
      <c r="B1939" s="1" t="n">
        <v>45115</v>
      </c>
      <c r="C1939" s="1" t="n">
        <v>45952</v>
      </c>
      <c r="D1939" t="inlineStr">
        <is>
          <t>ÖREBRO LÄN</t>
        </is>
      </c>
      <c r="E1939" t="inlineStr">
        <is>
          <t>ASKERSUND</t>
        </is>
      </c>
      <c r="F1939" t="inlineStr">
        <is>
          <t>Sveaskog</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38010-2024</t>
        </is>
      </c>
      <c r="B1940" s="1" t="n">
        <v>45544.62276620371</v>
      </c>
      <c r="C1940" s="1" t="n">
        <v>45952</v>
      </c>
      <c r="D1940" t="inlineStr">
        <is>
          <t>ÖREBRO LÄN</t>
        </is>
      </c>
      <c r="E1940" t="inlineStr">
        <is>
          <t>HÄLLEFORS</t>
        </is>
      </c>
      <c r="G1940" t="n">
        <v>22.7</v>
      </c>
      <c r="H1940" t="n">
        <v>0</v>
      </c>
      <c r="I1940" t="n">
        <v>0</v>
      </c>
      <c r="J1940" t="n">
        <v>0</v>
      </c>
      <c r="K1940" t="n">
        <v>0</v>
      </c>
      <c r="L1940" t="n">
        <v>0</v>
      </c>
      <c r="M1940" t="n">
        <v>0</v>
      </c>
      <c r="N1940" t="n">
        <v>0</v>
      </c>
      <c r="O1940" t="n">
        <v>0</v>
      </c>
      <c r="P1940" t="n">
        <v>0</v>
      </c>
      <c r="Q1940" t="n">
        <v>0</v>
      </c>
      <c r="R1940" s="2" t="inlineStr"/>
    </row>
    <row r="1941" ht="15" customHeight="1">
      <c r="A1941" t="inlineStr">
        <is>
          <t>A 35608-2021</t>
        </is>
      </c>
      <c r="B1941" s="1" t="n">
        <v>44386.38070601852</v>
      </c>
      <c r="C1941" s="1" t="n">
        <v>45952</v>
      </c>
      <c r="D1941" t="inlineStr">
        <is>
          <t>ÖREBRO LÄN</t>
        </is>
      </c>
      <c r="E1941" t="inlineStr">
        <is>
          <t>NORA</t>
        </is>
      </c>
      <c r="F1941" t="inlineStr">
        <is>
          <t>Sveaskog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18140-2025</t>
        </is>
      </c>
      <c r="B1942" s="1" t="n">
        <v>45761.60518518519</v>
      </c>
      <c r="C1942" s="1" t="n">
        <v>45952</v>
      </c>
      <c r="D1942" t="inlineStr">
        <is>
          <t>ÖREBRO LÄN</t>
        </is>
      </c>
      <c r="E1942" t="inlineStr">
        <is>
          <t>HALLSBERG</t>
        </is>
      </c>
      <c r="F1942" t="inlineStr">
        <is>
          <t>Sveaskog</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6727-2022</t>
        </is>
      </c>
      <c r="B1943" s="1" t="n">
        <v>44602.45490740741</v>
      </c>
      <c r="C1943" s="1" t="n">
        <v>45952</v>
      </c>
      <c r="D1943" t="inlineStr">
        <is>
          <t>ÖREBRO LÄN</t>
        </is>
      </c>
      <c r="E1943" t="inlineStr">
        <is>
          <t>LINDESBERG</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24628-2023</t>
        </is>
      </c>
      <c r="B1944" s="1" t="n">
        <v>45084.39651620371</v>
      </c>
      <c r="C1944" s="1" t="n">
        <v>45952</v>
      </c>
      <c r="D1944" t="inlineStr">
        <is>
          <t>ÖREBRO LÄN</t>
        </is>
      </c>
      <c r="E1944" t="inlineStr">
        <is>
          <t>HALLSBERG</t>
        </is>
      </c>
      <c r="G1944" t="n">
        <v>6</v>
      </c>
      <c r="H1944" t="n">
        <v>0</v>
      </c>
      <c r="I1944" t="n">
        <v>0</v>
      </c>
      <c r="J1944" t="n">
        <v>0</v>
      </c>
      <c r="K1944" t="n">
        <v>0</v>
      </c>
      <c r="L1944" t="n">
        <v>0</v>
      </c>
      <c r="M1944" t="n">
        <v>0</v>
      </c>
      <c r="N1944" t="n">
        <v>0</v>
      </c>
      <c r="O1944" t="n">
        <v>0</v>
      </c>
      <c r="P1944" t="n">
        <v>0</v>
      </c>
      <c r="Q1944" t="n">
        <v>0</v>
      </c>
      <c r="R1944" s="2" t="inlineStr"/>
    </row>
    <row r="1945" ht="15" customHeight="1">
      <c r="A1945" t="inlineStr">
        <is>
          <t>A 46398-2021</t>
        </is>
      </c>
      <c r="B1945" s="1" t="n">
        <v>44443.77010416667</v>
      </c>
      <c r="C1945" s="1" t="n">
        <v>45952</v>
      </c>
      <c r="D1945" t="inlineStr">
        <is>
          <t>ÖREBRO LÄN</t>
        </is>
      </c>
      <c r="E1945" t="inlineStr">
        <is>
          <t>LEKEBERG</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38509-2025</t>
        </is>
      </c>
      <c r="B1946" s="1" t="n">
        <v>45884.38858796296</v>
      </c>
      <c r="C1946" s="1" t="n">
        <v>45952</v>
      </c>
      <c r="D1946" t="inlineStr">
        <is>
          <t>ÖREBRO LÄN</t>
        </is>
      </c>
      <c r="E1946" t="inlineStr">
        <is>
          <t>LINDESBERG</t>
        </is>
      </c>
      <c r="G1946" t="n">
        <v>14.9</v>
      </c>
      <c r="H1946" t="n">
        <v>0</v>
      </c>
      <c r="I1946" t="n">
        <v>0</v>
      </c>
      <c r="J1946" t="n">
        <v>0</v>
      </c>
      <c r="K1946" t="n">
        <v>0</v>
      </c>
      <c r="L1946" t="n">
        <v>0</v>
      </c>
      <c r="M1946" t="n">
        <v>0</v>
      </c>
      <c r="N1946" t="n">
        <v>0</v>
      </c>
      <c r="O1946" t="n">
        <v>0</v>
      </c>
      <c r="P1946" t="n">
        <v>0</v>
      </c>
      <c r="Q1946" t="n">
        <v>0</v>
      </c>
      <c r="R1946" s="2" t="inlineStr"/>
    </row>
    <row r="1947" ht="15" customHeight="1">
      <c r="A1947" t="inlineStr">
        <is>
          <t>A 38532-2025</t>
        </is>
      </c>
      <c r="B1947" s="1" t="n">
        <v>45884</v>
      </c>
      <c r="C1947" s="1" t="n">
        <v>45952</v>
      </c>
      <c r="D1947" t="inlineStr">
        <is>
          <t>ÖREBRO LÄN</t>
        </is>
      </c>
      <c r="E1947" t="inlineStr">
        <is>
          <t>HÄLLEFORS</t>
        </is>
      </c>
      <c r="F1947" t="inlineStr">
        <is>
          <t>Bergvik skog väst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3652-2022</t>
        </is>
      </c>
      <c r="B1948" s="1" t="n">
        <v>44586.46921296296</v>
      </c>
      <c r="C1948" s="1" t="n">
        <v>45952</v>
      </c>
      <c r="D1948" t="inlineStr">
        <is>
          <t>ÖREBRO LÄN</t>
        </is>
      </c>
      <c r="E1948" t="inlineStr">
        <is>
          <t>ÖREBRO</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37021-2024</t>
        </is>
      </c>
      <c r="B1949" s="1" t="n">
        <v>45539.38146990741</v>
      </c>
      <c r="C1949" s="1" t="n">
        <v>45952</v>
      </c>
      <c r="D1949" t="inlineStr">
        <is>
          <t>ÖREBRO LÄN</t>
        </is>
      </c>
      <c r="E1949" t="inlineStr">
        <is>
          <t>ÖREBRO</t>
        </is>
      </c>
      <c r="F1949" t="inlineStr">
        <is>
          <t>Sveaskog</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19835-2025</t>
        </is>
      </c>
      <c r="B1950" s="1" t="n">
        <v>45771.47118055556</v>
      </c>
      <c r="C1950" s="1" t="n">
        <v>45952</v>
      </c>
      <c r="D1950" t="inlineStr">
        <is>
          <t>ÖREBRO LÄN</t>
        </is>
      </c>
      <c r="E1950" t="inlineStr">
        <is>
          <t>LAXÅ</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55745-2023</t>
        </is>
      </c>
      <c r="B1951" s="1" t="n">
        <v>45239.44811342593</v>
      </c>
      <c r="C1951" s="1" t="n">
        <v>45952</v>
      </c>
      <c r="D1951" t="inlineStr">
        <is>
          <t>ÖREBRO LÄN</t>
        </is>
      </c>
      <c r="E1951" t="inlineStr">
        <is>
          <t>ÖREBRO</t>
        </is>
      </c>
      <c r="G1951" t="n">
        <v>13.3</v>
      </c>
      <c r="H1951" t="n">
        <v>0</v>
      </c>
      <c r="I1951" t="n">
        <v>0</v>
      </c>
      <c r="J1951" t="n">
        <v>0</v>
      </c>
      <c r="K1951" t="n">
        <v>0</v>
      </c>
      <c r="L1951" t="n">
        <v>0</v>
      </c>
      <c r="M1951" t="n">
        <v>0</v>
      </c>
      <c r="N1951" t="n">
        <v>0</v>
      </c>
      <c r="O1951" t="n">
        <v>0</v>
      </c>
      <c r="P1951" t="n">
        <v>0</v>
      </c>
      <c r="Q1951" t="n">
        <v>0</v>
      </c>
      <c r="R1951" s="2" t="inlineStr"/>
    </row>
    <row r="1952" ht="15" customHeight="1">
      <c r="A1952" t="inlineStr">
        <is>
          <t>A 392-2022</t>
        </is>
      </c>
      <c r="B1952" s="1" t="n">
        <v>44565.68466435185</v>
      </c>
      <c r="C1952" s="1" t="n">
        <v>45952</v>
      </c>
      <c r="D1952" t="inlineStr">
        <is>
          <t>ÖREBRO LÄN</t>
        </is>
      </c>
      <c r="E1952" t="inlineStr">
        <is>
          <t>LJUSNARSBERG</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38904-2023</t>
        </is>
      </c>
      <c r="B1953" s="1" t="n">
        <v>45163</v>
      </c>
      <c r="C1953" s="1" t="n">
        <v>45952</v>
      </c>
      <c r="D1953" t="inlineStr">
        <is>
          <t>ÖREBRO LÄN</t>
        </is>
      </c>
      <c r="E1953" t="inlineStr">
        <is>
          <t>DEGERFORS</t>
        </is>
      </c>
      <c r="F1953" t="inlineStr">
        <is>
          <t>Sveaskog</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38921-2023</t>
        </is>
      </c>
      <c r="B1954" s="1" t="n">
        <v>45163</v>
      </c>
      <c r="C1954" s="1" t="n">
        <v>45952</v>
      </c>
      <c r="D1954" t="inlineStr">
        <is>
          <t>ÖREBRO LÄN</t>
        </is>
      </c>
      <c r="E1954" t="inlineStr">
        <is>
          <t>DEGERFORS</t>
        </is>
      </c>
      <c r="F1954" t="inlineStr">
        <is>
          <t>Sveaskog</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38922-2023</t>
        </is>
      </c>
      <c r="B1955" s="1" t="n">
        <v>45163.57961805556</v>
      </c>
      <c r="C1955" s="1" t="n">
        <v>45952</v>
      </c>
      <c r="D1955" t="inlineStr">
        <is>
          <t>ÖREBRO LÄN</t>
        </is>
      </c>
      <c r="E1955" t="inlineStr">
        <is>
          <t>LEKEBERG</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24944-2024</t>
        </is>
      </c>
      <c r="B1956" s="1" t="n">
        <v>45461.62924768519</v>
      </c>
      <c r="C1956" s="1" t="n">
        <v>45952</v>
      </c>
      <c r="D1956" t="inlineStr">
        <is>
          <t>ÖREBRO LÄN</t>
        </is>
      </c>
      <c r="E1956" t="inlineStr">
        <is>
          <t>LINDESBERG</t>
        </is>
      </c>
      <c r="F1956" t="inlineStr">
        <is>
          <t>Kyrkan</t>
        </is>
      </c>
      <c r="G1956" t="n">
        <v>13.7</v>
      </c>
      <c r="H1956" t="n">
        <v>0</v>
      </c>
      <c r="I1956" t="n">
        <v>0</v>
      </c>
      <c r="J1956" t="n">
        <v>0</v>
      </c>
      <c r="K1956" t="n">
        <v>0</v>
      </c>
      <c r="L1956" t="n">
        <v>0</v>
      </c>
      <c r="M1956" t="n">
        <v>0</v>
      </c>
      <c r="N1956" t="n">
        <v>0</v>
      </c>
      <c r="O1956" t="n">
        <v>0</v>
      </c>
      <c r="P1956" t="n">
        <v>0</v>
      </c>
      <c r="Q1956" t="n">
        <v>0</v>
      </c>
      <c r="R1956" s="2" t="inlineStr"/>
    </row>
    <row r="1957" ht="15" customHeight="1">
      <c r="A1957" t="inlineStr">
        <is>
          <t>A 60303-2024</t>
        </is>
      </c>
      <c r="B1957" s="1" t="n">
        <v>45643</v>
      </c>
      <c r="C1957" s="1" t="n">
        <v>45952</v>
      </c>
      <c r="D1957" t="inlineStr">
        <is>
          <t>ÖREBRO LÄN</t>
        </is>
      </c>
      <c r="E1957" t="inlineStr">
        <is>
          <t>HÄLLEFORS</t>
        </is>
      </c>
      <c r="F1957" t="inlineStr">
        <is>
          <t>Bergvik skog väst AB</t>
        </is>
      </c>
      <c r="G1957" t="n">
        <v>0.3</v>
      </c>
      <c r="H1957" t="n">
        <v>0</v>
      </c>
      <c r="I1957" t="n">
        <v>0</v>
      </c>
      <c r="J1957" t="n">
        <v>0</v>
      </c>
      <c r="K1957" t="n">
        <v>0</v>
      </c>
      <c r="L1957" t="n">
        <v>0</v>
      </c>
      <c r="M1957" t="n">
        <v>0</v>
      </c>
      <c r="N1957" t="n">
        <v>0</v>
      </c>
      <c r="O1957" t="n">
        <v>0</v>
      </c>
      <c r="P1957" t="n">
        <v>0</v>
      </c>
      <c r="Q1957" t="n">
        <v>0</v>
      </c>
      <c r="R1957" s="2" t="inlineStr"/>
    </row>
    <row r="1958" ht="15" customHeight="1">
      <c r="A1958" t="inlineStr">
        <is>
          <t>A 55442-2022</t>
        </is>
      </c>
      <c r="B1958" s="1" t="n">
        <v>44887</v>
      </c>
      <c r="C1958" s="1" t="n">
        <v>45952</v>
      </c>
      <c r="D1958" t="inlineStr">
        <is>
          <t>ÖREBRO LÄN</t>
        </is>
      </c>
      <c r="E1958" t="inlineStr">
        <is>
          <t>KUMLA</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33716-2021</t>
        </is>
      </c>
      <c r="B1959" s="1" t="n">
        <v>44378.46857638889</v>
      </c>
      <c r="C1959" s="1" t="n">
        <v>45952</v>
      </c>
      <c r="D1959" t="inlineStr">
        <is>
          <t>ÖREBRO LÄN</t>
        </is>
      </c>
      <c r="E1959" t="inlineStr">
        <is>
          <t>LINDESBERG</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38798-2021</t>
        </is>
      </c>
      <c r="B1960" s="1" t="n">
        <v>44410</v>
      </c>
      <c r="C1960" s="1" t="n">
        <v>45952</v>
      </c>
      <c r="D1960" t="inlineStr">
        <is>
          <t>ÖREBRO LÄN</t>
        </is>
      </c>
      <c r="E1960" t="inlineStr">
        <is>
          <t>NORA</t>
        </is>
      </c>
      <c r="G1960" t="n">
        <v>3.6</v>
      </c>
      <c r="H1960" t="n">
        <v>0</v>
      </c>
      <c r="I1960" t="n">
        <v>0</v>
      </c>
      <c r="J1960" t="n">
        <v>0</v>
      </c>
      <c r="K1960" t="n">
        <v>0</v>
      </c>
      <c r="L1960" t="n">
        <v>0</v>
      </c>
      <c r="M1960" t="n">
        <v>0</v>
      </c>
      <c r="N1960" t="n">
        <v>0</v>
      </c>
      <c r="O1960" t="n">
        <v>0</v>
      </c>
      <c r="P1960" t="n">
        <v>0</v>
      </c>
      <c r="Q1960" t="n">
        <v>0</v>
      </c>
      <c r="R1960" s="2" t="inlineStr"/>
    </row>
    <row r="1961" ht="15" customHeight="1">
      <c r="A1961" t="inlineStr">
        <is>
          <t>A 41602-2022</t>
        </is>
      </c>
      <c r="B1961" s="1" t="n">
        <v>44827</v>
      </c>
      <c r="C1961" s="1" t="n">
        <v>45952</v>
      </c>
      <c r="D1961" t="inlineStr">
        <is>
          <t>ÖREBRO LÄN</t>
        </is>
      </c>
      <c r="E1961" t="inlineStr">
        <is>
          <t>HALLSBERG</t>
        </is>
      </c>
      <c r="F1961" t="inlineStr">
        <is>
          <t>Kommuner</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59607-2024</t>
        </is>
      </c>
      <c r="B1962" s="1" t="n">
        <v>45638.74914351852</v>
      </c>
      <c r="C1962" s="1" t="n">
        <v>45952</v>
      </c>
      <c r="D1962" t="inlineStr">
        <is>
          <t>ÖREBRO LÄN</t>
        </is>
      </c>
      <c r="E1962" t="inlineStr">
        <is>
          <t>NORA</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59627-2024</t>
        </is>
      </c>
      <c r="B1963" s="1" t="n">
        <v>45638.89708333334</v>
      </c>
      <c r="C1963" s="1" t="n">
        <v>45952</v>
      </c>
      <c r="D1963" t="inlineStr">
        <is>
          <t>ÖREBRO LÄN</t>
        </is>
      </c>
      <c r="E1963" t="inlineStr">
        <is>
          <t>LJUSNARSBERG</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35191-2023</t>
        </is>
      </c>
      <c r="B1964" s="1" t="n">
        <v>45145.61096064815</v>
      </c>
      <c r="C1964" s="1" t="n">
        <v>45952</v>
      </c>
      <c r="D1964" t="inlineStr">
        <is>
          <t>ÖREBRO LÄN</t>
        </is>
      </c>
      <c r="E1964" t="inlineStr">
        <is>
          <t>HÄLLEFORS</t>
        </is>
      </c>
      <c r="F1964" t="inlineStr">
        <is>
          <t>Bergvik skog väst AB</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62972-2023</t>
        </is>
      </c>
      <c r="B1965" s="1" t="n">
        <v>45272</v>
      </c>
      <c r="C1965" s="1" t="n">
        <v>45952</v>
      </c>
      <c r="D1965" t="inlineStr">
        <is>
          <t>ÖREBRO LÄN</t>
        </is>
      </c>
      <c r="E1965" t="inlineStr">
        <is>
          <t>DEGERFORS</t>
        </is>
      </c>
      <c r="G1965" t="n">
        <v>0.3</v>
      </c>
      <c r="H1965" t="n">
        <v>0</v>
      </c>
      <c r="I1965" t="n">
        <v>0</v>
      </c>
      <c r="J1965" t="n">
        <v>0</v>
      </c>
      <c r="K1965" t="n">
        <v>0</v>
      </c>
      <c r="L1965" t="n">
        <v>0</v>
      </c>
      <c r="M1965" t="n">
        <v>0</v>
      </c>
      <c r="N1965" t="n">
        <v>0</v>
      </c>
      <c r="O1965" t="n">
        <v>0</v>
      </c>
      <c r="P1965" t="n">
        <v>0</v>
      </c>
      <c r="Q1965" t="n">
        <v>0</v>
      </c>
      <c r="R1965" s="2" t="inlineStr"/>
    </row>
    <row r="1966" ht="15" customHeight="1">
      <c r="A1966" t="inlineStr">
        <is>
          <t>A 3602-2023</t>
        </is>
      </c>
      <c r="B1966" s="1" t="n">
        <v>44950.58821759259</v>
      </c>
      <c r="C1966" s="1" t="n">
        <v>45952</v>
      </c>
      <c r="D1966" t="inlineStr">
        <is>
          <t>ÖREBRO LÄN</t>
        </is>
      </c>
      <c r="E1966" t="inlineStr">
        <is>
          <t>LEKEBERG</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44803-2024</t>
        </is>
      </c>
      <c r="B1967" s="1" t="n">
        <v>45574.65087962963</v>
      </c>
      <c r="C1967" s="1" t="n">
        <v>45952</v>
      </c>
      <c r="D1967" t="inlineStr">
        <is>
          <t>ÖREBRO LÄN</t>
        </is>
      </c>
      <c r="E1967" t="inlineStr">
        <is>
          <t>LINDESBERG</t>
        </is>
      </c>
      <c r="F1967" t="inlineStr">
        <is>
          <t>Sveaskog</t>
        </is>
      </c>
      <c r="G1967" t="n">
        <v>6.8</v>
      </c>
      <c r="H1967" t="n">
        <v>0</v>
      </c>
      <c r="I1967" t="n">
        <v>0</v>
      </c>
      <c r="J1967" t="n">
        <v>0</v>
      </c>
      <c r="K1967" t="n">
        <v>0</v>
      </c>
      <c r="L1967" t="n">
        <v>0</v>
      </c>
      <c r="M1967" t="n">
        <v>0</v>
      </c>
      <c r="N1967" t="n">
        <v>0</v>
      </c>
      <c r="O1967" t="n">
        <v>0</v>
      </c>
      <c r="P1967" t="n">
        <v>0</v>
      </c>
      <c r="Q1967" t="n">
        <v>0</v>
      </c>
      <c r="R1967" s="2" t="inlineStr"/>
    </row>
    <row r="1968" ht="15" customHeight="1">
      <c r="A1968" t="inlineStr">
        <is>
          <t>A 56392-2024</t>
        </is>
      </c>
      <c r="B1968" s="1" t="n">
        <v>45625.34493055556</v>
      </c>
      <c r="C1968" s="1" t="n">
        <v>45952</v>
      </c>
      <c r="D1968" t="inlineStr">
        <is>
          <t>ÖREBRO LÄN</t>
        </is>
      </c>
      <c r="E1968" t="inlineStr">
        <is>
          <t>ASKERSUND</t>
        </is>
      </c>
      <c r="F1968" t="inlineStr">
        <is>
          <t>Sveaskog</t>
        </is>
      </c>
      <c r="G1968" t="n">
        <v>5.4</v>
      </c>
      <c r="H1968" t="n">
        <v>0</v>
      </c>
      <c r="I1968" t="n">
        <v>0</v>
      </c>
      <c r="J1968" t="n">
        <v>0</v>
      </c>
      <c r="K1968" t="n">
        <v>0</v>
      </c>
      <c r="L1968" t="n">
        <v>0</v>
      </c>
      <c r="M1968" t="n">
        <v>0</v>
      </c>
      <c r="N1968" t="n">
        <v>0</v>
      </c>
      <c r="O1968" t="n">
        <v>0</v>
      </c>
      <c r="P1968" t="n">
        <v>0</v>
      </c>
      <c r="Q1968" t="n">
        <v>0</v>
      </c>
      <c r="R1968" s="2" t="inlineStr"/>
    </row>
    <row r="1969" ht="15" customHeight="1">
      <c r="A1969" t="inlineStr">
        <is>
          <t>A 4467-2024</t>
        </is>
      </c>
      <c r="B1969" s="1" t="n">
        <v>45327</v>
      </c>
      <c r="C1969" s="1" t="n">
        <v>45952</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14025-2021</t>
        </is>
      </c>
      <c r="B1970" s="1" t="n">
        <v>44277.65498842593</v>
      </c>
      <c r="C1970" s="1" t="n">
        <v>45952</v>
      </c>
      <c r="D1970" t="inlineStr">
        <is>
          <t>ÖREBRO LÄN</t>
        </is>
      </c>
      <c r="E1970" t="inlineStr">
        <is>
          <t>NORA</t>
        </is>
      </c>
      <c r="G1970" t="n">
        <v>7.7</v>
      </c>
      <c r="H1970" t="n">
        <v>0</v>
      </c>
      <c r="I1970" t="n">
        <v>0</v>
      </c>
      <c r="J1970" t="n">
        <v>0</v>
      </c>
      <c r="K1970" t="n">
        <v>0</v>
      </c>
      <c r="L1970" t="n">
        <v>0</v>
      </c>
      <c r="M1970" t="n">
        <v>0</v>
      </c>
      <c r="N1970" t="n">
        <v>0</v>
      </c>
      <c r="O1970" t="n">
        <v>0</v>
      </c>
      <c r="P1970" t="n">
        <v>0</v>
      </c>
      <c r="Q1970" t="n">
        <v>0</v>
      </c>
      <c r="R1970" s="2" t="inlineStr"/>
    </row>
    <row r="1971" ht="15" customHeight="1">
      <c r="A1971" t="inlineStr">
        <is>
          <t>A 12895-2022</t>
        </is>
      </c>
      <c r="B1971" s="1" t="n">
        <v>44642</v>
      </c>
      <c r="C1971" s="1" t="n">
        <v>45952</v>
      </c>
      <c r="D1971" t="inlineStr">
        <is>
          <t>ÖREBRO LÄN</t>
        </is>
      </c>
      <c r="E1971" t="inlineStr">
        <is>
          <t>ASKERSUND</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52528-2024</t>
        </is>
      </c>
      <c r="B1972" s="1" t="n">
        <v>45609</v>
      </c>
      <c r="C1972" s="1" t="n">
        <v>45952</v>
      </c>
      <c r="D1972" t="inlineStr">
        <is>
          <t>ÖREBRO LÄN</t>
        </is>
      </c>
      <c r="E1972" t="inlineStr">
        <is>
          <t>DEGERFORS</t>
        </is>
      </c>
      <c r="F1972" t="inlineStr">
        <is>
          <t>Sveaskog</t>
        </is>
      </c>
      <c r="G1972" t="n">
        <v>4.5</v>
      </c>
      <c r="H1972" t="n">
        <v>0</v>
      </c>
      <c r="I1972" t="n">
        <v>0</v>
      </c>
      <c r="J1972" t="n">
        <v>0</v>
      </c>
      <c r="K1972" t="n">
        <v>0</v>
      </c>
      <c r="L1972" t="n">
        <v>0</v>
      </c>
      <c r="M1972" t="n">
        <v>0</v>
      </c>
      <c r="N1972" t="n">
        <v>0</v>
      </c>
      <c r="O1972" t="n">
        <v>0</v>
      </c>
      <c r="P1972" t="n">
        <v>0</v>
      </c>
      <c r="Q1972" t="n">
        <v>0</v>
      </c>
      <c r="R1972" s="2" t="inlineStr"/>
    </row>
    <row r="1973" ht="15" customHeight="1">
      <c r="A1973" t="inlineStr">
        <is>
          <t>A 19750-2025</t>
        </is>
      </c>
      <c r="B1973" s="1" t="n">
        <v>45771.38583333333</v>
      </c>
      <c r="C1973" s="1" t="n">
        <v>45952</v>
      </c>
      <c r="D1973" t="inlineStr">
        <is>
          <t>ÖREBRO LÄN</t>
        </is>
      </c>
      <c r="E1973" t="inlineStr">
        <is>
          <t>LJUSNARSBERG</t>
        </is>
      </c>
      <c r="F1973" t="inlineStr">
        <is>
          <t>Sveaskog</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8047-2025</t>
        </is>
      </c>
      <c r="B1974" s="1" t="n">
        <v>45707</v>
      </c>
      <c r="C1974" s="1" t="n">
        <v>45952</v>
      </c>
      <c r="D1974" t="inlineStr">
        <is>
          <t>ÖREBRO LÄN</t>
        </is>
      </c>
      <c r="E1974" t="inlineStr">
        <is>
          <t>ASKERSUND</t>
        </is>
      </c>
      <c r="F1974" t="inlineStr">
        <is>
          <t>Sveaskog</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8055-2025</t>
        </is>
      </c>
      <c r="B1975" s="1" t="n">
        <v>45707</v>
      </c>
      <c r="C1975" s="1" t="n">
        <v>45952</v>
      </c>
      <c r="D1975" t="inlineStr">
        <is>
          <t>ÖREBRO LÄN</t>
        </is>
      </c>
      <c r="E1975" t="inlineStr">
        <is>
          <t>ASKERSUND</t>
        </is>
      </c>
      <c r="F1975" t="inlineStr">
        <is>
          <t>Sveaskog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58710-2023</t>
        </is>
      </c>
      <c r="B1976" s="1" t="n">
        <v>45251.696875</v>
      </c>
      <c r="C1976" s="1" t="n">
        <v>45952</v>
      </c>
      <c r="D1976" t="inlineStr">
        <is>
          <t>ÖREBRO LÄN</t>
        </is>
      </c>
      <c r="E1976" t="inlineStr">
        <is>
          <t>LINDESBERG</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44780-2024</t>
        </is>
      </c>
      <c r="B1977" s="1" t="n">
        <v>45574</v>
      </c>
      <c r="C1977" s="1" t="n">
        <v>45952</v>
      </c>
      <c r="D1977" t="inlineStr">
        <is>
          <t>ÖREBRO LÄN</t>
        </is>
      </c>
      <c r="E1977" t="inlineStr">
        <is>
          <t>LJUSNARSBERG</t>
        </is>
      </c>
      <c r="F1977" t="inlineStr">
        <is>
          <t>Bergvik skog väst AB</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23536-2023</t>
        </is>
      </c>
      <c r="B1978" s="1" t="n">
        <v>45077</v>
      </c>
      <c r="C1978" s="1" t="n">
        <v>45952</v>
      </c>
      <c r="D1978" t="inlineStr">
        <is>
          <t>ÖREBRO LÄN</t>
        </is>
      </c>
      <c r="E1978" t="inlineStr">
        <is>
          <t>LINDESBERG</t>
        </is>
      </c>
      <c r="F1978" t="inlineStr">
        <is>
          <t>Kyrkan</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34759-2024</t>
        </is>
      </c>
      <c r="B1979" s="1" t="n">
        <v>45526</v>
      </c>
      <c r="C1979" s="1" t="n">
        <v>45952</v>
      </c>
      <c r="D1979" t="inlineStr">
        <is>
          <t>ÖREBRO LÄN</t>
        </is>
      </c>
      <c r="E1979" t="inlineStr">
        <is>
          <t>NORA</t>
        </is>
      </c>
      <c r="F1979" t="inlineStr">
        <is>
          <t>Övriga Aktiebolag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23037-2024</t>
        </is>
      </c>
      <c r="B1980" s="1" t="n">
        <v>45450.3955787037</v>
      </c>
      <c r="C1980" s="1" t="n">
        <v>45952</v>
      </c>
      <c r="D1980" t="inlineStr">
        <is>
          <t>ÖREBRO LÄN</t>
        </is>
      </c>
      <c r="E1980" t="inlineStr">
        <is>
          <t>HÄLLEFORS</t>
        </is>
      </c>
      <c r="G1980" t="n">
        <v>2.4</v>
      </c>
      <c r="H1980" t="n">
        <v>0</v>
      </c>
      <c r="I1980" t="n">
        <v>0</v>
      </c>
      <c r="J1980" t="n">
        <v>0</v>
      </c>
      <c r="K1980" t="n">
        <v>0</v>
      </c>
      <c r="L1980" t="n">
        <v>0</v>
      </c>
      <c r="M1980" t="n">
        <v>0</v>
      </c>
      <c r="N1980" t="n">
        <v>0</v>
      </c>
      <c r="O1980" t="n">
        <v>0</v>
      </c>
      <c r="P1980" t="n">
        <v>0</v>
      </c>
      <c r="Q1980" t="n">
        <v>0</v>
      </c>
      <c r="R1980" s="2" t="inlineStr"/>
    </row>
    <row r="1981" ht="15" customHeight="1">
      <c r="A1981" t="inlineStr">
        <is>
          <t>A 38552-2023</t>
        </is>
      </c>
      <c r="B1981" s="1" t="n">
        <v>45162.5978125</v>
      </c>
      <c r="C1981" s="1" t="n">
        <v>45952</v>
      </c>
      <c r="D1981" t="inlineStr">
        <is>
          <t>ÖREBRO LÄN</t>
        </is>
      </c>
      <c r="E1981" t="inlineStr">
        <is>
          <t>LINDESBERG</t>
        </is>
      </c>
      <c r="G1981" t="n">
        <v>10.4</v>
      </c>
      <c r="H1981" t="n">
        <v>0</v>
      </c>
      <c r="I1981" t="n">
        <v>0</v>
      </c>
      <c r="J1981" t="n">
        <v>0</v>
      </c>
      <c r="K1981" t="n">
        <v>0</v>
      </c>
      <c r="L1981" t="n">
        <v>0</v>
      </c>
      <c r="M1981" t="n">
        <v>0</v>
      </c>
      <c r="N1981" t="n">
        <v>0</v>
      </c>
      <c r="O1981" t="n">
        <v>0</v>
      </c>
      <c r="P1981" t="n">
        <v>0</v>
      </c>
      <c r="Q1981" t="n">
        <v>0</v>
      </c>
      <c r="R1981" s="2" t="inlineStr"/>
    </row>
    <row r="1982" ht="15" customHeight="1">
      <c r="A1982" t="inlineStr">
        <is>
          <t>A 38573-2023</t>
        </is>
      </c>
      <c r="B1982" s="1" t="n">
        <v>45162.61837962963</v>
      </c>
      <c r="C1982" s="1" t="n">
        <v>45952</v>
      </c>
      <c r="D1982" t="inlineStr">
        <is>
          <t>ÖREBRO LÄN</t>
        </is>
      </c>
      <c r="E1982" t="inlineStr">
        <is>
          <t>ÖREBRO</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4443-2025</t>
        </is>
      </c>
      <c r="B1983" s="1" t="n">
        <v>45686.56048611111</v>
      </c>
      <c r="C1983" s="1" t="n">
        <v>45952</v>
      </c>
      <c r="D1983" t="inlineStr">
        <is>
          <t>ÖREBRO LÄN</t>
        </is>
      </c>
      <c r="E1983" t="inlineStr">
        <is>
          <t>HALLSBERG</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38633-2023</t>
        </is>
      </c>
      <c r="B1984" s="1" t="n">
        <v>45160</v>
      </c>
      <c r="C1984" s="1" t="n">
        <v>45952</v>
      </c>
      <c r="D1984" t="inlineStr">
        <is>
          <t>ÖREBRO LÄN</t>
        </is>
      </c>
      <c r="E1984" t="inlineStr">
        <is>
          <t>LAXÅ</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15213-2025</t>
        </is>
      </c>
      <c r="B1985" s="1" t="n">
        <v>45744.57851851852</v>
      </c>
      <c r="C1985" s="1" t="n">
        <v>45952</v>
      </c>
      <c r="D1985" t="inlineStr">
        <is>
          <t>ÖREBRO LÄN</t>
        </is>
      </c>
      <c r="E1985" t="inlineStr">
        <is>
          <t>LINDESBERG</t>
        </is>
      </c>
      <c r="F1985" t="inlineStr">
        <is>
          <t>Sveaskog</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2224-2025</t>
        </is>
      </c>
      <c r="B1986" s="1" t="n">
        <v>45673</v>
      </c>
      <c r="C1986" s="1" t="n">
        <v>45952</v>
      </c>
      <c r="D1986" t="inlineStr">
        <is>
          <t>ÖREBRO LÄN</t>
        </is>
      </c>
      <c r="E1986" t="inlineStr">
        <is>
          <t>KARLSKOGA</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60449-2024</t>
        </is>
      </c>
      <c r="B1987" s="1" t="n">
        <v>45643</v>
      </c>
      <c r="C1987" s="1" t="n">
        <v>45952</v>
      </c>
      <c r="D1987" t="inlineStr">
        <is>
          <t>ÖREBRO LÄN</t>
        </is>
      </c>
      <c r="E1987" t="inlineStr">
        <is>
          <t>LINDESBERG</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15894-2025</t>
        </is>
      </c>
      <c r="B1988" s="1" t="n">
        <v>45749</v>
      </c>
      <c r="C1988" s="1" t="n">
        <v>45952</v>
      </c>
      <c r="D1988" t="inlineStr">
        <is>
          <t>ÖREBRO LÄN</t>
        </is>
      </c>
      <c r="E1988" t="inlineStr">
        <is>
          <t>LINDESBERG</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25012-2023</t>
        </is>
      </c>
      <c r="B1989" s="1" t="n">
        <v>45085</v>
      </c>
      <c r="C1989" s="1" t="n">
        <v>45952</v>
      </c>
      <c r="D1989" t="inlineStr">
        <is>
          <t>ÖREBRO LÄN</t>
        </is>
      </c>
      <c r="E1989" t="inlineStr">
        <is>
          <t>LINDESBERG</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15325-2021</t>
        </is>
      </c>
      <c r="B1990" s="1" t="n">
        <v>44284</v>
      </c>
      <c r="C1990" s="1" t="n">
        <v>45952</v>
      </c>
      <c r="D1990" t="inlineStr">
        <is>
          <t>ÖREBRO LÄN</t>
        </is>
      </c>
      <c r="E1990" t="inlineStr">
        <is>
          <t>LJUSNARSBERG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19914-2024</t>
        </is>
      </c>
      <c r="B1991" s="1" t="n">
        <v>45433.58099537037</v>
      </c>
      <c r="C1991" s="1" t="n">
        <v>45952</v>
      </c>
      <c r="D1991" t="inlineStr">
        <is>
          <t>ÖREBRO LÄN</t>
        </is>
      </c>
      <c r="E1991" t="inlineStr">
        <is>
          <t>LINDESBERG</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8503-2022</t>
        </is>
      </c>
      <c r="B1992" s="1" t="n">
        <v>44613</v>
      </c>
      <c r="C1992" s="1" t="n">
        <v>45952</v>
      </c>
      <c r="D1992" t="inlineStr">
        <is>
          <t>ÖREBRO LÄN</t>
        </is>
      </c>
      <c r="E1992" t="inlineStr">
        <is>
          <t>HÄLLEFORS</t>
        </is>
      </c>
      <c r="F1992" t="inlineStr">
        <is>
          <t>Bergvik skog väst AB</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4999-2025</t>
        </is>
      </c>
      <c r="B1993" s="1" t="n">
        <v>45691.36253472222</v>
      </c>
      <c r="C1993" s="1" t="n">
        <v>45952</v>
      </c>
      <c r="D1993" t="inlineStr">
        <is>
          <t>ÖREBRO LÄN</t>
        </is>
      </c>
      <c r="E1993" t="inlineStr">
        <is>
          <t>LINDESBERG</t>
        </is>
      </c>
      <c r="G1993" t="n">
        <v>4.7</v>
      </c>
      <c r="H1993" t="n">
        <v>0</v>
      </c>
      <c r="I1993" t="n">
        <v>0</v>
      </c>
      <c r="J1993" t="n">
        <v>0</v>
      </c>
      <c r="K1993" t="n">
        <v>0</v>
      </c>
      <c r="L1993" t="n">
        <v>0</v>
      </c>
      <c r="M1993" t="n">
        <v>0</v>
      </c>
      <c r="N1993" t="n">
        <v>0</v>
      </c>
      <c r="O1993" t="n">
        <v>0</v>
      </c>
      <c r="P1993" t="n">
        <v>0</v>
      </c>
      <c r="Q1993" t="n">
        <v>0</v>
      </c>
      <c r="R1993" s="2" t="inlineStr"/>
    </row>
    <row r="1994" ht="15" customHeight="1">
      <c r="A1994" t="inlineStr">
        <is>
          <t>A 45536-2024</t>
        </is>
      </c>
      <c r="B1994" s="1" t="n">
        <v>45578</v>
      </c>
      <c r="C1994" s="1" t="n">
        <v>45952</v>
      </c>
      <c r="D1994" t="inlineStr">
        <is>
          <t>ÖREBRO LÄN</t>
        </is>
      </c>
      <c r="E1994" t="inlineStr">
        <is>
          <t>LJUSNARSBERG</t>
        </is>
      </c>
      <c r="F1994" t="inlineStr">
        <is>
          <t>Bergvik skog väst AB</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14633-2025</t>
        </is>
      </c>
      <c r="B1995" s="1" t="n">
        <v>45742</v>
      </c>
      <c r="C1995" s="1" t="n">
        <v>45952</v>
      </c>
      <c r="D1995" t="inlineStr">
        <is>
          <t>ÖREBRO LÄN</t>
        </is>
      </c>
      <c r="E1995" t="inlineStr">
        <is>
          <t>DEGERFORS</t>
        </is>
      </c>
      <c r="F1995" t="inlineStr">
        <is>
          <t>Sveaskog</t>
        </is>
      </c>
      <c r="G1995" t="n">
        <v>5.3</v>
      </c>
      <c r="H1995" t="n">
        <v>0</v>
      </c>
      <c r="I1995" t="n">
        <v>0</v>
      </c>
      <c r="J1995" t="n">
        <v>0</v>
      </c>
      <c r="K1995" t="n">
        <v>0</v>
      </c>
      <c r="L1995" t="n">
        <v>0</v>
      </c>
      <c r="M1995" t="n">
        <v>0</v>
      </c>
      <c r="N1995" t="n">
        <v>0</v>
      </c>
      <c r="O1995" t="n">
        <v>0</v>
      </c>
      <c r="P1995" t="n">
        <v>0</v>
      </c>
      <c r="Q1995" t="n">
        <v>0</v>
      </c>
      <c r="R1995" s="2" t="inlineStr"/>
    </row>
    <row r="1996" ht="15" customHeight="1">
      <c r="A1996" t="inlineStr">
        <is>
          <t>A 52499-2024</t>
        </is>
      </c>
      <c r="B1996" s="1" t="n">
        <v>45609.58422453704</v>
      </c>
      <c r="C1996" s="1" t="n">
        <v>45952</v>
      </c>
      <c r="D1996" t="inlineStr">
        <is>
          <t>ÖREBRO LÄN</t>
        </is>
      </c>
      <c r="E1996" t="inlineStr">
        <is>
          <t>ÖREBRO</t>
        </is>
      </c>
      <c r="F1996" t="inlineStr">
        <is>
          <t>Sveaskog</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8374-2021</t>
        </is>
      </c>
      <c r="B1997" s="1" t="n">
        <v>44244</v>
      </c>
      <c r="C1997" s="1" t="n">
        <v>45952</v>
      </c>
      <c r="D1997" t="inlineStr">
        <is>
          <t>ÖREBRO LÄN</t>
        </is>
      </c>
      <c r="E1997" t="inlineStr">
        <is>
          <t>ÖREBRO</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15941-2025</t>
        </is>
      </c>
      <c r="B1998" s="1" t="n">
        <v>45749</v>
      </c>
      <c r="C1998" s="1" t="n">
        <v>45952</v>
      </c>
      <c r="D1998" t="inlineStr">
        <is>
          <t>ÖREBRO LÄN</t>
        </is>
      </c>
      <c r="E1998" t="inlineStr">
        <is>
          <t>LINDESBERG</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4344-2025</t>
        </is>
      </c>
      <c r="B1999" s="1" t="n">
        <v>45685</v>
      </c>
      <c r="C1999" s="1" t="n">
        <v>45952</v>
      </c>
      <c r="D1999" t="inlineStr">
        <is>
          <t>ÖREBRO LÄN</t>
        </is>
      </c>
      <c r="E1999" t="inlineStr">
        <is>
          <t>ÖREBRO</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42920-2024</t>
        </is>
      </c>
      <c r="B2000" s="1" t="n">
        <v>45567.29131944444</v>
      </c>
      <c r="C2000" s="1" t="n">
        <v>45952</v>
      </c>
      <c r="D2000" t="inlineStr">
        <is>
          <t>ÖREBRO LÄN</t>
        </is>
      </c>
      <c r="E2000" t="inlineStr">
        <is>
          <t>HÄLLEFORS</t>
        </is>
      </c>
      <c r="F2000" t="inlineStr">
        <is>
          <t>Bergvik skog väst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18835-2025</t>
        </is>
      </c>
      <c r="B2001" s="1" t="n">
        <v>45764.39592592593</v>
      </c>
      <c r="C2001" s="1" t="n">
        <v>45952</v>
      </c>
      <c r="D2001" t="inlineStr">
        <is>
          <t>ÖREBRO LÄN</t>
        </is>
      </c>
      <c r="E2001" t="inlineStr">
        <is>
          <t>LAXÅ</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18975-2025</t>
        </is>
      </c>
      <c r="B2002" s="1" t="n">
        <v>45764.54383101852</v>
      </c>
      <c r="C2002" s="1" t="n">
        <v>45952</v>
      </c>
      <c r="D2002" t="inlineStr">
        <is>
          <t>ÖREBRO LÄN</t>
        </is>
      </c>
      <c r="E2002" t="inlineStr">
        <is>
          <t>LJUSNARSBERG</t>
        </is>
      </c>
      <c r="F2002" t="inlineStr">
        <is>
          <t>Bergvik skog väst AB</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13969-2025</t>
        </is>
      </c>
      <c r="B2003" s="1" t="n">
        <v>45738.43714120371</v>
      </c>
      <c r="C2003" s="1" t="n">
        <v>45952</v>
      </c>
      <c r="D2003" t="inlineStr">
        <is>
          <t>ÖREBRO LÄN</t>
        </is>
      </c>
      <c r="E2003" t="inlineStr">
        <is>
          <t>LINDESBERG</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55631-2022</t>
        </is>
      </c>
      <c r="B2004" s="1" t="n">
        <v>44888.4577662037</v>
      </c>
      <c r="C2004" s="1" t="n">
        <v>45952</v>
      </c>
      <c r="D2004" t="inlineStr">
        <is>
          <t>ÖREBRO LÄN</t>
        </is>
      </c>
      <c r="E2004" t="inlineStr">
        <is>
          <t>LINDESBERG</t>
        </is>
      </c>
      <c r="G2004" t="n">
        <v>4.4</v>
      </c>
      <c r="H2004" t="n">
        <v>0</v>
      </c>
      <c r="I2004" t="n">
        <v>0</v>
      </c>
      <c r="J2004" t="n">
        <v>0</v>
      </c>
      <c r="K2004" t="n">
        <v>0</v>
      </c>
      <c r="L2004" t="n">
        <v>0</v>
      </c>
      <c r="M2004" t="n">
        <v>0</v>
      </c>
      <c r="N2004" t="n">
        <v>0</v>
      </c>
      <c r="O2004" t="n">
        <v>0</v>
      </c>
      <c r="P2004" t="n">
        <v>0</v>
      </c>
      <c r="Q2004" t="n">
        <v>0</v>
      </c>
      <c r="R2004" s="2" t="inlineStr"/>
    </row>
    <row r="2005" ht="15" customHeight="1">
      <c r="A2005" t="inlineStr">
        <is>
          <t>A 60522-2020</t>
        </is>
      </c>
      <c r="B2005" s="1" t="n">
        <v>44153</v>
      </c>
      <c r="C2005" s="1" t="n">
        <v>45952</v>
      </c>
      <c r="D2005" t="inlineStr">
        <is>
          <t>ÖREBRO LÄN</t>
        </is>
      </c>
      <c r="E2005" t="inlineStr">
        <is>
          <t>HALLSBERG</t>
        </is>
      </c>
      <c r="F2005" t="inlineStr">
        <is>
          <t>Kyrkan</t>
        </is>
      </c>
      <c r="G2005" t="n">
        <v>3.5</v>
      </c>
      <c r="H2005" t="n">
        <v>0</v>
      </c>
      <c r="I2005" t="n">
        <v>0</v>
      </c>
      <c r="J2005" t="n">
        <v>0</v>
      </c>
      <c r="K2005" t="n">
        <v>0</v>
      </c>
      <c r="L2005" t="n">
        <v>0</v>
      </c>
      <c r="M2005" t="n">
        <v>0</v>
      </c>
      <c r="N2005" t="n">
        <v>0</v>
      </c>
      <c r="O2005" t="n">
        <v>0</v>
      </c>
      <c r="P2005" t="n">
        <v>0</v>
      </c>
      <c r="Q2005" t="n">
        <v>0</v>
      </c>
      <c r="R2005" s="2" t="inlineStr"/>
    </row>
    <row r="2006" ht="15" customHeight="1">
      <c r="A2006" t="inlineStr">
        <is>
          <t>A 5263-2025</t>
        </is>
      </c>
      <c r="B2006" s="1" t="n">
        <v>45692.37509259259</v>
      </c>
      <c r="C2006" s="1" t="n">
        <v>45952</v>
      </c>
      <c r="D2006" t="inlineStr">
        <is>
          <t>ÖREBRO LÄN</t>
        </is>
      </c>
      <c r="E2006" t="inlineStr">
        <is>
          <t>HÄLLEFORS</t>
        </is>
      </c>
      <c r="F2006" t="inlineStr">
        <is>
          <t>Bergvik skog väst AB</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13856-2022</t>
        </is>
      </c>
      <c r="B2007" s="1" t="n">
        <v>44649.6965162037</v>
      </c>
      <c r="C2007" s="1" t="n">
        <v>45952</v>
      </c>
      <c r="D2007" t="inlineStr">
        <is>
          <t>ÖREBRO LÄN</t>
        </is>
      </c>
      <c r="E2007" t="inlineStr">
        <is>
          <t>ÖREBRO</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52256-2023</t>
        </is>
      </c>
      <c r="B2008" s="1" t="n">
        <v>45224.51471064815</v>
      </c>
      <c r="C2008" s="1" t="n">
        <v>45952</v>
      </c>
      <c r="D2008" t="inlineStr">
        <is>
          <t>ÖREBRO LÄN</t>
        </is>
      </c>
      <c r="E2008" t="inlineStr">
        <is>
          <t>ÖREBRO</t>
        </is>
      </c>
      <c r="G2008" t="n">
        <v>2.8</v>
      </c>
      <c r="H2008" t="n">
        <v>0</v>
      </c>
      <c r="I2008" t="n">
        <v>0</v>
      </c>
      <c r="J2008" t="n">
        <v>0</v>
      </c>
      <c r="K2008" t="n">
        <v>0</v>
      </c>
      <c r="L2008" t="n">
        <v>0</v>
      </c>
      <c r="M2008" t="n">
        <v>0</v>
      </c>
      <c r="N2008" t="n">
        <v>0</v>
      </c>
      <c r="O2008" t="n">
        <v>0</v>
      </c>
      <c r="P2008" t="n">
        <v>0</v>
      </c>
      <c r="Q2008" t="n">
        <v>0</v>
      </c>
      <c r="R2008" s="2" t="inlineStr"/>
    </row>
    <row r="2009" ht="15" customHeight="1">
      <c r="A2009" t="inlineStr">
        <is>
          <t>A 50402-2023</t>
        </is>
      </c>
      <c r="B2009" s="1" t="n">
        <v>45216</v>
      </c>
      <c r="C2009" s="1" t="n">
        <v>45952</v>
      </c>
      <c r="D2009" t="inlineStr">
        <is>
          <t>ÖREBRO LÄN</t>
        </is>
      </c>
      <c r="E2009" t="inlineStr">
        <is>
          <t>LAXÅ</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13780-2023</t>
        </is>
      </c>
      <c r="B2010" s="1" t="n">
        <v>45007.47386574074</v>
      </c>
      <c r="C2010" s="1" t="n">
        <v>45952</v>
      </c>
      <c r="D2010" t="inlineStr">
        <is>
          <t>ÖREBRO LÄN</t>
        </is>
      </c>
      <c r="E2010" t="inlineStr">
        <is>
          <t>ASKERSUND</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265-2023</t>
        </is>
      </c>
      <c r="B2011" s="1" t="n">
        <v>44928</v>
      </c>
      <c r="C2011" s="1" t="n">
        <v>45952</v>
      </c>
      <c r="D2011" t="inlineStr">
        <is>
          <t>ÖREBRO LÄN</t>
        </is>
      </c>
      <c r="E2011" t="inlineStr">
        <is>
          <t>LINDESBERG</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14960-2025</t>
        </is>
      </c>
      <c r="B2012" s="1" t="n">
        <v>45743.5853125</v>
      </c>
      <c r="C2012" s="1" t="n">
        <v>45952</v>
      </c>
      <c r="D2012" t="inlineStr">
        <is>
          <t>ÖREBRO LÄN</t>
        </is>
      </c>
      <c r="E2012" t="inlineStr">
        <is>
          <t>ÖREBRO</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43529-2024</t>
        </is>
      </c>
      <c r="B2013" s="1" t="n">
        <v>45569.35209490741</v>
      </c>
      <c r="C2013" s="1" t="n">
        <v>45952</v>
      </c>
      <c r="D2013" t="inlineStr">
        <is>
          <t>ÖREBRO LÄN</t>
        </is>
      </c>
      <c r="E2013" t="inlineStr">
        <is>
          <t>LINDESBERG</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14315-2025</t>
        </is>
      </c>
      <c r="B2014" s="1" t="n">
        <v>45740.72116898148</v>
      </c>
      <c r="C2014" s="1" t="n">
        <v>45952</v>
      </c>
      <c r="D2014" t="inlineStr">
        <is>
          <t>ÖREBRO LÄN</t>
        </is>
      </c>
      <c r="E2014" t="inlineStr">
        <is>
          <t>NORA</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8533-2025</t>
        </is>
      </c>
      <c r="B2015" s="1" t="n">
        <v>45709</v>
      </c>
      <c r="C2015" s="1" t="n">
        <v>45952</v>
      </c>
      <c r="D2015" t="inlineStr">
        <is>
          <t>ÖREBRO LÄN</t>
        </is>
      </c>
      <c r="E2015" t="inlineStr">
        <is>
          <t>LAXÅ</t>
        </is>
      </c>
      <c r="F2015" t="inlineStr">
        <is>
          <t>Sveaskog</t>
        </is>
      </c>
      <c r="G2015" t="n">
        <v>5.3</v>
      </c>
      <c r="H2015" t="n">
        <v>0</v>
      </c>
      <c r="I2015" t="n">
        <v>0</v>
      </c>
      <c r="J2015" t="n">
        <v>0</v>
      </c>
      <c r="K2015" t="n">
        <v>0</v>
      </c>
      <c r="L2015" t="n">
        <v>0</v>
      </c>
      <c r="M2015" t="n">
        <v>0</v>
      </c>
      <c r="N2015" t="n">
        <v>0</v>
      </c>
      <c r="O2015" t="n">
        <v>0</v>
      </c>
      <c r="P2015" t="n">
        <v>0</v>
      </c>
      <c r="Q2015" t="n">
        <v>0</v>
      </c>
      <c r="R2015" s="2" t="inlineStr"/>
    </row>
    <row r="2016" ht="15" customHeight="1">
      <c r="A2016" t="inlineStr">
        <is>
          <t>A 60115-2022</t>
        </is>
      </c>
      <c r="B2016" s="1" t="n">
        <v>44902</v>
      </c>
      <c r="C2016" s="1" t="n">
        <v>45952</v>
      </c>
      <c r="D2016" t="inlineStr">
        <is>
          <t>ÖREBRO LÄN</t>
        </is>
      </c>
      <c r="E2016" t="inlineStr">
        <is>
          <t>LINDESBERG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13623-2024</t>
        </is>
      </c>
      <c r="B2017" s="1" t="n">
        <v>45390.38626157407</v>
      </c>
      <c r="C2017" s="1" t="n">
        <v>45952</v>
      </c>
      <c r="D2017" t="inlineStr">
        <is>
          <t>ÖREBRO LÄN</t>
        </is>
      </c>
      <c r="E2017" t="inlineStr">
        <is>
          <t>ÖREBRO</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12963-2023</t>
        </is>
      </c>
      <c r="B2018" s="1" t="n">
        <v>45001</v>
      </c>
      <c r="C2018" s="1" t="n">
        <v>45952</v>
      </c>
      <c r="D2018" t="inlineStr">
        <is>
          <t>ÖREBRO LÄN</t>
        </is>
      </c>
      <c r="E2018" t="inlineStr">
        <is>
          <t>LEKEBERG</t>
        </is>
      </c>
      <c r="G2018" t="n">
        <v>2.4</v>
      </c>
      <c r="H2018" t="n">
        <v>0</v>
      </c>
      <c r="I2018" t="n">
        <v>0</v>
      </c>
      <c r="J2018" t="n">
        <v>0</v>
      </c>
      <c r="K2018" t="n">
        <v>0</v>
      </c>
      <c r="L2018" t="n">
        <v>0</v>
      </c>
      <c r="M2018" t="n">
        <v>0</v>
      </c>
      <c r="N2018" t="n">
        <v>0</v>
      </c>
      <c r="O2018" t="n">
        <v>0</v>
      </c>
      <c r="P2018" t="n">
        <v>0</v>
      </c>
      <c r="Q2018" t="n">
        <v>0</v>
      </c>
      <c r="R2018" s="2" t="inlineStr"/>
    </row>
    <row r="2019" ht="15" customHeight="1">
      <c r="A2019" t="inlineStr">
        <is>
          <t>A 28620-2023</t>
        </is>
      </c>
      <c r="B2019" s="1" t="n">
        <v>45103.5975462963</v>
      </c>
      <c r="C2019" s="1" t="n">
        <v>45952</v>
      </c>
      <c r="D2019" t="inlineStr">
        <is>
          <t>ÖREBRO LÄN</t>
        </is>
      </c>
      <c r="E2019" t="inlineStr">
        <is>
          <t>LEKEBERG</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47201-2023</t>
        </is>
      </c>
      <c r="B2020" s="1" t="n">
        <v>45196</v>
      </c>
      <c r="C2020" s="1" t="n">
        <v>45952</v>
      </c>
      <c r="D2020" t="inlineStr">
        <is>
          <t>ÖREBRO LÄN</t>
        </is>
      </c>
      <c r="E2020" t="inlineStr">
        <is>
          <t>KARLSKOGA</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56313-2024</t>
        </is>
      </c>
      <c r="B2021" s="1" t="n">
        <v>45624</v>
      </c>
      <c r="C2021" s="1" t="n">
        <v>45952</v>
      </c>
      <c r="D2021" t="inlineStr">
        <is>
          <t>ÖREBRO LÄN</t>
        </is>
      </c>
      <c r="E2021" t="inlineStr">
        <is>
          <t>KARLSKOGA</t>
        </is>
      </c>
      <c r="F2021" t="inlineStr">
        <is>
          <t>Kyrkan</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59587-2023</t>
        </is>
      </c>
      <c r="B2022" s="1" t="n">
        <v>45254</v>
      </c>
      <c r="C2022" s="1" t="n">
        <v>45952</v>
      </c>
      <c r="D2022" t="inlineStr">
        <is>
          <t>ÖREBRO LÄN</t>
        </is>
      </c>
      <c r="E2022" t="inlineStr">
        <is>
          <t>ASKERSUND</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50207-2024</t>
        </is>
      </c>
      <c r="B2023" s="1" t="n">
        <v>45600.49782407407</v>
      </c>
      <c r="C2023" s="1" t="n">
        <v>45952</v>
      </c>
      <c r="D2023" t="inlineStr">
        <is>
          <t>ÖREBRO LÄN</t>
        </is>
      </c>
      <c r="E2023" t="inlineStr">
        <is>
          <t>DEGERFORS</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50208-2024</t>
        </is>
      </c>
      <c r="B2024" s="1" t="n">
        <v>45600.49924768518</v>
      </c>
      <c r="C2024" s="1" t="n">
        <v>45952</v>
      </c>
      <c r="D2024" t="inlineStr">
        <is>
          <t>ÖREBRO LÄN</t>
        </is>
      </c>
      <c r="E2024" t="inlineStr">
        <is>
          <t>DEGERFORS</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12143-2025</t>
        </is>
      </c>
      <c r="B2025" s="1" t="n">
        <v>45729</v>
      </c>
      <c r="C2025" s="1" t="n">
        <v>45952</v>
      </c>
      <c r="D2025" t="inlineStr">
        <is>
          <t>ÖREBRO LÄN</t>
        </is>
      </c>
      <c r="E2025" t="inlineStr">
        <is>
          <t>DEGERFORS</t>
        </is>
      </c>
      <c r="F2025" t="inlineStr">
        <is>
          <t>Sveaskog</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60959-2021</t>
        </is>
      </c>
      <c r="B2026" s="1" t="n">
        <v>44497</v>
      </c>
      <c r="C2026" s="1" t="n">
        <v>45952</v>
      </c>
      <c r="D2026" t="inlineStr">
        <is>
          <t>ÖREBRO LÄN</t>
        </is>
      </c>
      <c r="E2026" t="inlineStr">
        <is>
          <t>ASKERSUND</t>
        </is>
      </c>
      <c r="G2026" t="n">
        <v>0.1</v>
      </c>
      <c r="H2026" t="n">
        <v>0</v>
      </c>
      <c r="I2026" t="n">
        <v>0</v>
      </c>
      <c r="J2026" t="n">
        <v>0</v>
      </c>
      <c r="K2026" t="n">
        <v>0</v>
      </c>
      <c r="L2026" t="n">
        <v>0</v>
      </c>
      <c r="M2026" t="n">
        <v>0</v>
      </c>
      <c r="N2026" t="n">
        <v>0</v>
      </c>
      <c r="O2026" t="n">
        <v>0</v>
      </c>
      <c r="P2026" t="n">
        <v>0</v>
      </c>
      <c r="Q2026" t="n">
        <v>0</v>
      </c>
      <c r="R2026" s="2" t="inlineStr"/>
    </row>
    <row r="2027" ht="15" customHeight="1">
      <c r="A2027" t="inlineStr">
        <is>
          <t>A 29975-2023</t>
        </is>
      </c>
      <c r="B2027" s="1" t="n">
        <v>45108.7553587963</v>
      </c>
      <c r="C2027" s="1" t="n">
        <v>45952</v>
      </c>
      <c r="D2027" t="inlineStr">
        <is>
          <t>ÖREBRO LÄN</t>
        </is>
      </c>
      <c r="E2027" t="inlineStr">
        <is>
          <t>LINDESBERG</t>
        </is>
      </c>
      <c r="G2027" t="n">
        <v>6.4</v>
      </c>
      <c r="H2027" t="n">
        <v>0</v>
      </c>
      <c r="I2027" t="n">
        <v>0</v>
      </c>
      <c r="J2027" t="n">
        <v>0</v>
      </c>
      <c r="K2027" t="n">
        <v>0</v>
      </c>
      <c r="L2027" t="n">
        <v>0</v>
      </c>
      <c r="M2027" t="n">
        <v>0</v>
      </c>
      <c r="N2027" t="n">
        <v>0</v>
      </c>
      <c r="O2027" t="n">
        <v>0</v>
      </c>
      <c r="P2027" t="n">
        <v>0</v>
      </c>
      <c r="Q2027" t="n">
        <v>0</v>
      </c>
      <c r="R2027" s="2" t="inlineStr"/>
    </row>
    <row r="2028" ht="15" customHeight="1">
      <c r="A2028" t="inlineStr">
        <is>
          <t>A 7872-2025</t>
        </is>
      </c>
      <c r="B2028" s="1" t="n">
        <v>45706</v>
      </c>
      <c r="C2028" s="1" t="n">
        <v>45952</v>
      </c>
      <c r="D2028" t="inlineStr">
        <is>
          <t>ÖREBRO LÄN</t>
        </is>
      </c>
      <c r="E2028" t="inlineStr">
        <is>
          <t>ASKERSUND</t>
        </is>
      </c>
      <c r="F2028" t="inlineStr">
        <is>
          <t>Kyrkan</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37294-2021</t>
        </is>
      </c>
      <c r="B2029" s="1" t="n">
        <v>44397</v>
      </c>
      <c r="C2029" s="1" t="n">
        <v>45952</v>
      </c>
      <c r="D2029" t="inlineStr">
        <is>
          <t>ÖREBRO LÄN</t>
        </is>
      </c>
      <c r="E2029" t="inlineStr">
        <is>
          <t>ASKERSUND</t>
        </is>
      </c>
      <c r="G2029" t="n">
        <v>7.1</v>
      </c>
      <c r="H2029" t="n">
        <v>0</v>
      </c>
      <c r="I2029" t="n">
        <v>0</v>
      </c>
      <c r="J2029" t="n">
        <v>0</v>
      </c>
      <c r="K2029" t="n">
        <v>0</v>
      </c>
      <c r="L2029" t="n">
        <v>0</v>
      </c>
      <c r="M2029" t="n">
        <v>0</v>
      </c>
      <c r="N2029" t="n">
        <v>0</v>
      </c>
      <c r="O2029" t="n">
        <v>0</v>
      </c>
      <c r="P2029" t="n">
        <v>0</v>
      </c>
      <c r="Q2029" t="n">
        <v>0</v>
      </c>
      <c r="R2029" s="2" t="inlineStr"/>
    </row>
    <row r="2030" ht="15" customHeight="1">
      <c r="A2030" t="inlineStr">
        <is>
          <t>A 18274-2024</t>
        </is>
      </c>
      <c r="B2030" s="1" t="n">
        <v>45421.70460648148</v>
      </c>
      <c r="C2030" s="1" t="n">
        <v>45952</v>
      </c>
      <c r="D2030" t="inlineStr">
        <is>
          <t>ÖREBRO LÄN</t>
        </is>
      </c>
      <c r="E2030" t="inlineStr">
        <is>
          <t>LEKEBERG</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49974-2021</t>
        </is>
      </c>
      <c r="B2031" s="1" t="n">
        <v>44456</v>
      </c>
      <c r="C2031" s="1" t="n">
        <v>45952</v>
      </c>
      <c r="D2031" t="inlineStr">
        <is>
          <t>ÖREBRO LÄN</t>
        </is>
      </c>
      <c r="E2031" t="inlineStr">
        <is>
          <t>LAXÅ</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50014-2021</t>
        </is>
      </c>
      <c r="B2032" s="1" t="n">
        <v>44456.4811574074</v>
      </c>
      <c r="C2032" s="1" t="n">
        <v>45952</v>
      </c>
      <c r="D2032" t="inlineStr">
        <is>
          <t>ÖREBRO LÄN</t>
        </is>
      </c>
      <c r="E2032" t="inlineStr">
        <is>
          <t>ASKERSUND</t>
        </is>
      </c>
      <c r="F2032" t="inlineStr">
        <is>
          <t>Sveaskog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17041-2025</t>
        </is>
      </c>
      <c r="B2033" s="1" t="n">
        <v>45755.58488425926</v>
      </c>
      <c r="C2033" s="1" t="n">
        <v>45952</v>
      </c>
      <c r="D2033" t="inlineStr">
        <is>
          <t>ÖREBRO LÄN</t>
        </is>
      </c>
      <c r="E2033" t="inlineStr">
        <is>
          <t>HÄLLEFORS</t>
        </is>
      </c>
      <c r="F2033" t="inlineStr">
        <is>
          <t>Bergvik skog väst AB</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19807-2025</t>
        </is>
      </c>
      <c r="B2034" s="1" t="n">
        <v>45771.45430555556</v>
      </c>
      <c r="C2034" s="1" t="n">
        <v>45952</v>
      </c>
      <c r="D2034" t="inlineStr">
        <is>
          <t>ÖREBRO LÄN</t>
        </is>
      </c>
      <c r="E2034" t="inlineStr">
        <is>
          <t>LAXÅ</t>
        </is>
      </c>
      <c r="F2034" t="inlineStr">
        <is>
          <t>Sveaskog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46487-2021</t>
        </is>
      </c>
      <c r="B2035" s="1" t="n">
        <v>44445.38759259259</v>
      </c>
      <c r="C2035" s="1" t="n">
        <v>45952</v>
      </c>
      <c r="D2035" t="inlineStr">
        <is>
          <t>ÖREBRO LÄN</t>
        </is>
      </c>
      <c r="E2035" t="inlineStr">
        <is>
          <t>LAXÅ</t>
        </is>
      </c>
      <c r="F2035" t="inlineStr">
        <is>
          <t>Sveaskog</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14734-2024</t>
        </is>
      </c>
      <c r="B2036" s="1" t="n">
        <v>45397.5890625</v>
      </c>
      <c r="C2036" s="1" t="n">
        <v>45952</v>
      </c>
      <c r="D2036" t="inlineStr">
        <is>
          <t>ÖREBRO LÄN</t>
        </is>
      </c>
      <c r="E2036" t="inlineStr">
        <is>
          <t>LEKEBERG</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60289-2023</t>
        </is>
      </c>
      <c r="B2037" s="1" t="n">
        <v>45257</v>
      </c>
      <c r="C2037" s="1" t="n">
        <v>45952</v>
      </c>
      <c r="D2037" t="inlineStr">
        <is>
          <t>ÖREBRO LÄN</t>
        </is>
      </c>
      <c r="E2037" t="inlineStr">
        <is>
          <t>ÖREBRO</t>
        </is>
      </c>
      <c r="G2037" t="n">
        <v>10.9</v>
      </c>
      <c r="H2037" t="n">
        <v>0</v>
      </c>
      <c r="I2037" t="n">
        <v>0</v>
      </c>
      <c r="J2037" t="n">
        <v>0</v>
      </c>
      <c r="K2037" t="n">
        <v>0</v>
      </c>
      <c r="L2037" t="n">
        <v>0</v>
      </c>
      <c r="M2037" t="n">
        <v>0</v>
      </c>
      <c r="N2037" t="n">
        <v>0</v>
      </c>
      <c r="O2037" t="n">
        <v>0</v>
      </c>
      <c r="P2037" t="n">
        <v>0</v>
      </c>
      <c r="Q2037" t="n">
        <v>0</v>
      </c>
      <c r="R2037" s="2" t="inlineStr"/>
    </row>
    <row r="2038" ht="15" customHeight="1">
      <c r="A2038" t="inlineStr">
        <is>
          <t>A 60301-2023</t>
        </is>
      </c>
      <c r="B2038" s="1" t="n">
        <v>45258</v>
      </c>
      <c r="C2038" s="1" t="n">
        <v>45952</v>
      </c>
      <c r="D2038" t="inlineStr">
        <is>
          <t>ÖREBRO LÄN</t>
        </is>
      </c>
      <c r="E2038" t="inlineStr">
        <is>
          <t>NORA</t>
        </is>
      </c>
      <c r="G2038" t="n">
        <v>6</v>
      </c>
      <c r="H2038" t="n">
        <v>0</v>
      </c>
      <c r="I2038" t="n">
        <v>0</v>
      </c>
      <c r="J2038" t="n">
        <v>0</v>
      </c>
      <c r="K2038" t="n">
        <v>0</v>
      </c>
      <c r="L2038" t="n">
        <v>0</v>
      </c>
      <c r="M2038" t="n">
        <v>0</v>
      </c>
      <c r="N2038" t="n">
        <v>0</v>
      </c>
      <c r="O2038" t="n">
        <v>0</v>
      </c>
      <c r="P2038" t="n">
        <v>0</v>
      </c>
      <c r="Q2038" t="n">
        <v>0</v>
      </c>
      <c r="R2038" s="2" t="inlineStr"/>
    </row>
    <row r="2039" ht="15" customHeight="1">
      <c r="A2039" t="inlineStr">
        <is>
          <t>A 53329-2023</t>
        </is>
      </c>
      <c r="B2039" s="1" t="n">
        <v>45229</v>
      </c>
      <c r="C2039" s="1" t="n">
        <v>45952</v>
      </c>
      <c r="D2039" t="inlineStr">
        <is>
          <t>ÖREBRO LÄN</t>
        </is>
      </c>
      <c r="E2039" t="inlineStr">
        <is>
          <t>HALLSBERG</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12017-2024</t>
        </is>
      </c>
      <c r="B2040" s="1" t="n">
        <v>45377</v>
      </c>
      <c r="C2040" s="1" t="n">
        <v>45952</v>
      </c>
      <c r="D2040" t="inlineStr">
        <is>
          <t>ÖREBRO LÄN</t>
        </is>
      </c>
      <c r="E2040" t="inlineStr">
        <is>
          <t>ÖREBRO</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16540-2024</t>
        </is>
      </c>
      <c r="B2041" s="1" t="n">
        <v>45408.4334837963</v>
      </c>
      <c r="C2041" s="1" t="n">
        <v>45952</v>
      </c>
      <c r="D2041" t="inlineStr">
        <is>
          <t>ÖREBRO LÄN</t>
        </is>
      </c>
      <c r="E2041" t="inlineStr">
        <is>
          <t>NORA</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40551-2023</t>
        </is>
      </c>
      <c r="B2042" s="1" t="n">
        <v>45170.45384259259</v>
      </c>
      <c r="C2042" s="1" t="n">
        <v>45952</v>
      </c>
      <c r="D2042" t="inlineStr">
        <is>
          <t>ÖREBRO LÄN</t>
        </is>
      </c>
      <c r="E2042" t="inlineStr">
        <is>
          <t>HALLSBERG</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54678-2023</t>
        </is>
      </c>
      <c r="B2043" s="1" t="n">
        <v>45235</v>
      </c>
      <c r="C2043" s="1" t="n">
        <v>45952</v>
      </c>
      <c r="D2043" t="inlineStr">
        <is>
          <t>ÖREBRO LÄN</t>
        </is>
      </c>
      <c r="E2043" t="inlineStr">
        <is>
          <t>ÖREBRO</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55355-2024</t>
        </is>
      </c>
      <c r="B2044" s="1" t="n">
        <v>45621.80475694445</v>
      </c>
      <c r="C2044" s="1" t="n">
        <v>45952</v>
      </c>
      <c r="D2044" t="inlineStr">
        <is>
          <t>ÖREBRO LÄN</t>
        </is>
      </c>
      <c r="E2044" t="inlineStr">
        <is>
          <t>ÖREBRO</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61396-2023</t>
        </is>
      </c>
      <c r="B2045" s="1" t="n">
        <v>45264.64989583333</v>
      </c>
      <c r="C2045" s="1" t="n">
        <v>45952</v>
      </c>
      <c r="D2045" t="inlineStr">
        <is>
          <t>ÖREBRO LÄN</t>
        </is>
      </c>
      <c r="E2045" t="inlineStr">
        <is>
          <t>KARLSKOGA</t>
        </is>
      </c>
      <c r="G2045" t="n">
        <v>1.8</v>
      </c>
      <c r="H2045" t="n">
        <v>0</v>
      </c>
      <c r="I2045" t="n">
        <v>0</v>
      </c>
      <c r="J2045" t="n">
        <v>0</v>
      </c>
      <c r="K2045" t="n">
        <v>0</v>
      </c>
      <c r="L2045" t="n">
        <v>0</v>
      </c>
      <c r="M2045" t="n">
        <v>0</v>
      </c>
      <c r="N2045" t="n">
        <v>0</v>
      </c>
      <c r="O2045" t="n">
        <v>0</v>
      </c>
      <c r="P2045" t="n">
        <v>0</v>
      </c>
      <c r="Q2045" t="n">
        <v>0</v>
      </c>
      <c r="R2045" s="2" t="inlineStr"/>
    </row>
    <row r="2046" ht="15" customHeight="1">
      <c r="A2046" t="inlineStr">
        <is>
          <t>A 10743-2023</t>
        </is>
      </c>
      <c r="B2046" s="1" t="n">
        <v>44988.70174768518</v>
      </c>
      <c r="C2046" s="1" t="n">
        <v>45952</v>
      </c>
      <c r="D2046" t="inlineStr">
        <is>
          <t>ÖREBRO LÄN</t>
        </is>
      </c>
      <c r="E2046" t="inlineStr">
        <is>
          <t>KARLSKOGA</t>
        </is>
      </c>
      <c r="F2046" t="inlineStr">
        <is>
          <t>Kyrkan</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37598-2024</t>
        </is>
      </c>
      <c r="B2047" s="1" t="n">
        <v>45541.47604166667</v>
      </c>
      <c r="C2047" s="1" t="n">
        <v>45952</v>
      </c>
      <c r="D2047" t="inlineStr">
        <is>
          <t>ÖREBRO LÄN</t>
        </is>
      </c>
      <c r="E2047" t="inlineStr">
        <is>
          <t>LEKEBERG</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25842-2024</t>
        </is>
      </c>
      <c r="B2048" s="1" t="n">
        <v>45467.43387731481</v>
      </c>
      <c r="C2048" s="1" t="n">
        <v>45952</v>
      </c>
      <c r="D2048" t="inlineStr">
        <is>
          <t>ÖREBRO LÄN</t>
        </is>
      </c>
      <c r="E2048" t="inlineStr">
        <is>
          <t>LAXÅ</t>
        </is>
      </c>
      <c r="F2048" t="inlineStr">
        <is>
          <t>Sveaskog</t>
        </is>
      </c>
      <c r="G2048" t="n">
        <v>6.2</v>
      </c>
      <c r="H2048" t="n">
        <v>0</v>
      </c>
      <c r="I2048" t="n">
        <v>0</v>
      </c>
      <c r="J2048" t="n">
        <v>0</v>
      </c>
      <c r="K2048" t="n">
        <v>0</v>
      </c>
      <c r="L2048" t="n">
        <v>0</v>
      </c>
      <c r="M2048" t="n">
        <v>0</v>
      </c>
      <c r="N2048" t="n">
        <v>0</v>
      </c>
      <c r="O2048" t="n">
        <v>0</v>
      </c>
      <c r="P2048" t="n">
        <v>0</v>
      </c>
      <c r="Q2048" t="n">
        <v>0</v>
      </c>
      <c r="R2048" s="2" t="inlineStr"/>
    </row>
    <row r="2049" ht="15" customHeight="1">
      <c r="A2049" t="inlineStr">
        <is>
          <t>A 25845-2024</t>
        </is>
      </c>
      <c r="B2049" s="1" t="n">
        <v>45467.43505787037</v>
      </c>
      <c r="C2049" s="1" t="n">
        <v>45952</v>
      </c>
      <c r="D2049" t="inlineStr">
        <is>
          <t>ÖREBRO LÄN</t>
        </is>
      </c>
      <c r="E2049" t="inlineStr">
        <is>
          <t>LAXÅ</t>
        </is>
      </c>
      <c r="F2049" t="inlineStr">
        <is>
          <t>Sveaskog</t>
        </is>
      </c>
      <c r="G2049" t="n">
        <v>6.2</v>
      </c>
      <c r="H2049" t="n">
        <v>0</v>
      </c>
      <c r="I2049" t="n">
        <v>0</v>
      </c>
      <c r="J2049" t="n">
        <v>0</v>
      </c>
      <c r="K2049" t="n">
        <v>0</v>
      </c>
      <c r="L2049" t="n">
        <v>0</v>
      </c>
      <c r="M2049" t="n">
        <v>0</v>
      </c>
      <c r="N2049" t="n">
        <v>0</v>
      </c>
      <c r="O2049" t="n">
        <v>0</v>
      </c>
      <c r="P2049" t="n">
        <v>0</v>
      </c>
      <c r="Q2049" t="n">
        <v>0</v>
      </c>
      <c r="R2049" s="2" t="inlineStr"/>
    </row>
    <row r="2050" ht="15" customHeight="1">
      <c r="A2050" t="inlineStr">
        <is>
          <t>A 14634-2025</t>
        </is>
      </c>
      <c r="B2050" s="1" t="n">
        <v>45742</v>
      </c>
      <c r="C2050" s="1" t="n">
        <v>45952</v>
      </c>
      <c r="D2050" t="inlineStr">
        <is>
          <t>ÖREBRO LÄN</t>
        </is>
      </c>
      <c r="E2050" t="inlineStr">
        <is>
          <t>DEGERFORS</t>
        </is>
      </c>
      <c r="F2050" t="inlineStr">
        <is>
          <t>Sveaskog</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50005-2021</t>
        </is>
      </c>
      <c r="B2051" s="1" t="n">
        <v>44456</v>
      </c>
      <c r="C2051" s="1" t="n">
        <v>45952</v>
      </c>
      <c r="D2051" t="inlineStr">
        <is>
          <t>ÖREBRO LÄN</t>
        </is>
      </c>
      <c r="E2051" t="inlineStr">
        <is>
          <t>LAXÅ</t>
        </is>
      </c>
      <c r="G2051" t="n">
        <v>0.3</v>
      </c>
      <c r="H2051" t="n">
        <v>0</v>
      </c>
      <c r="I2051" t="n">
        <v>0</v>
      </c>
      <c r="J2051" t="n">
        <v>0</v>
      </c>
      <c r="K2051" t="n">
        <v>0</v>
      </c>
      <c r="L2051" t="n">
        <v>0</v>
      </c>
      <c r="M2051" t="n">
        <v>0</v>
      </c>
      <c r="N2051" t="n">
        <v>0</v>
      </c>
      <c r="O2051" t="n">
        <v>0</v>
      </c>
      <c r="P2051" t="n">
        <v>0</v>
      </c>
      <c r="Q2051" t="n">
        <v>0</v>
      </c>
      <c r="R2051" s="2" t="inlineStr"/>
    </row>
    <row r="2052" ht="15" customHeight="1">
      <c r="A2052" t="inlineStr">
        <is>
          <t>A 53366-2023</t>
        </is>
      </c>
      <c r="B2052" s="1" t="n">
        <v>45229</v>
      </c>
      <c r="C2052" s="1" t="n">
        <v>45952</v>
      </c>
      <c r="D2052" t="inlineStr">
        <is>
          <t>ÖREBRO LÄN</t>
        </is>
      </c>
      <c r="E2052" t="inlineStr">
        <is>
          <t>LINDESBERG</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42430-2024</t>
        </is>
      </c>
      <c r="B2053" s="1" t="n">
        <v>45565.40700231482</v>
      </c>
      <c r="C2053" s="1" t="n">
        <v>45952</v>
      </c>
      <c r="D2053" t="inlineStr">
        <is>
          <t>ÖREBRO LÄN</t>
        </is>
      </c>
      <c r="E2053" t="inlineStr">
        <is>
          <t>LINDESBERG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46812-2024</t>
        </is>
      </c>
      <c r="B2054" s="1" t="n">
        <v>45583</v>
      </c>
      <c r="C2054" s="1" t="n">
        <v>45952</v>
      </c>
      <c r="D2054" t="inlineStr">
        <is>
          <t>ÖREBRO LÄN</t>
        </is>
      </c>
      <c r="E2054" t="inlineStr">
        <is>
          <t>LJUSNARSBERG</t>
        </is>
      </c>
      <c r="F2054" t="inlineStr">
        <is>
          <t>Bergvik skog väst AB</t>
        </is>
      </c>
      <c r="G2054" t="n">
        <v>5.3</v>
      </c>
      <c r="H2054" t="n">
        <v>0</v>
      </c>
      <c r="I2054" t="n">
        <v>0</v>
      </c>
      <c r="J2054" t="n">
        <v>0</v>
      </c>
      <c r="K2054" t="n">
        <v>0</v>
      </c>
      <c r="L2054" t="n">
        <v>0</v>
      </c>
      <c r="M2054" t="n">
        <v>0</v>
      </c>
      <c r="N2054" t="n">
        <v>0</v>
      </c>
      <c r="O2054" t="n">
        <v>0</v>
      </c>
      <c r="P2054" t="n">
        <v>0</v>
      </c>
      <c r="Q2054" t="n">
        <v>0</v>
      </c>
      <c r="R2054" s="2" t="inlineStr"/>
    </row>
    <row r="2055" ht="15" customHeight="1">
      <c r="A2055" t="inlineStr">
        <is>
          <t>A 46757-2025</t>
        </is>
      </c>
      <c r="B2055" s="1" t="n">
        <v>45926.62039351852</v>
      </c>
      <c r="C2055" s="1" t="n">
        <v>45952</v>
      </c>
      <c r="D2055" t="inlineStr">
        <is>
          <t>ÖREBRO LÄN</t>
        </is>
      </c>
      <c r="E2055" t="inlineStr">
        <is>
          <t>LINDESBERG</t>
        </is>
      </c>
      <c r="G2055" t="n">
        <v>7.9</v>
      </c>
      <c r="H2055" t="n">
        <v>0</v>
      </c>
      <c r="I2055" t="n">
        <v>0</v>
      </c>
      <c r="J2055" t="n">
        <v>0</v>
      </c>
      <c r="K2055" t="n">
        <v>0</v>
      </c>
      <c r="L2055" t="n">
        <v>0</v>
      </c>
      <c r="M2055" t="n">
        <v>0</v>
      </c>
      <c r="N2055" t="n">
        <v>0</v>
      </c>
      <c r="O2055" t="n">
        <v>0</v>
      </c>
      <c r="P2055" t="n">
        <v>0</v>
      </c>
      <c r="Q2055" t="n">
        <v>0</v>
      </c>
      <c r="R2055" s="2" t="inlineStr"/>
    </row>
    <row r="2056" ht="15" customHeight="1">
      <c r="A2056" t="inlineStr">
        <is>
          <t>A 14215-2024</t>
        </is>
      </c>
      <c r="B2056" s="1" t="n">
        <v>45393</v>
      </c>
      <c r="C2056" s="1" t="n">
        <v>45952</v>
      </c>
      <c r="D2056" t="inlineStr">
        <is>
          <t>ÖREBRO LÄN</t>
        </is>
      </c>
      <c r="E2056" t="inlineStr">
        <is>
          <t>KARLSKOGA</t>
        </is>
      </c>
      <c r="F2056" t="inlineStr">
        <is>
          <t>Kommuner</t>
        </is>
      </c>
      <c r="G2056" t="n">
        <v>4.2</v>
      </c>
      <c r="H2056" t="n">
        <v>0</v>
      </c>
      <c r="I2056" t="n">
        <v>0</v>
      </c>
      <c r="J2056" t="n">
        <v>0</v>
      </c>
      <c r="K2056" t="n">
        <v>0</v>
      </c>
      <c r="L2056" t="n">
        <v>0</v>
      </c>
      <c r="M2056" t="n">
        <v>0</v>
      </c>
      <c r="N2056" t="n">
        <v>0</v>
      </c>
      <c r="O2056" t="n">
        <v>0</v>
      </c>
      <c r="P2056" t="n">
        <v>0</v>
      </c>
      <c r="Q2056" t="n">
        <v>0</v>
      </c>
      <c r="R2056" s="2" t="inlineStr"/>
    </row>
    <row r="2057" ht="15" customHeight="1">
      <c r="A2057" t="inlineStr">
        <is>
          <t>A 35130-2022</t>
        </is>
      </c>
      <c r="B2057" s="1" t="n">
        <v>44797</v>
      </c>
      <c r="C2057" s="1" t="n">
        <v>45952</v>
      </c>
      <c r="D2057" t="inlineStr">
        <is>
          <t>ÖREBRO LÄN</t>
        </is>
      </c>
      <c r="E2057" t="inlineStr">
        <is>
          <t>LAXÅ</t>
        </is>
      </c>
      <c r="G2057" t="n">
        <v>5</v>
      </c>
      <c r="H2057" t="n">
        <v>0</v>
      </c>
      <c r="I2057" t="n">
        <v>0</v>
      </c>
      <c r="J2057" t="n">
        <v>0</v>
      </c>
      <c r="K2057" t="n">
        <v>0</v>
      </c>
      <c r="L2057" t="n">
        <v>0</v>
      </c>
      <c r="M2057" t="n">
        <v>0</v>
      </c>
      <c r="N2057" t="n">
        <v>0</v>
      </c>
      <c r="O2057" t="n">
        <v>0</v>
      </c>
      <c r="P2057" t="n">
        <v>0</v>
      </c>
      <c r="Q2057" t="n">
        <v>0</v>
      </c>
      <c r="R2057" s="2" t="inlineStr"/>
    </row>
    <row r="2058" ht="15" customHeight="1">
      <c r="A2058" t="inlineStr">
        <is>
          <t>A 34512-2024</t>
        </is>
      </c>
      <c r="B2058" s="1" t="n">
        <v>45525</v>
      </c>
      <c r="C2058" s="1" t="n">
        <v>45952</v>
      </c>
      <c r="D2058" t="inlineStr">
        <is>
          <t>ÖREBRO LÄN</t>
        </is>
      </c>
      <c r="E2058" t="inlineStr">
        <is>
          <t>ASKERSUND</t>
        </is>
      </c>
      <c r="F2058" t="inlineStr">
        <is>
          <t>Sveaskog</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34514-2024</t>
        </is>
      </c>
      <c r="B2059" s="1" t="n">
        <v>45525</v>
      </c>
      <c r="C2059" s="1" t="n">
        <v>45952</v>
      </c>
      <c r="D2059" t="inlineStr">
        <is>
          <t>ÖREBRO LÄN</t>
        </is>
      </c>
      <c r="E2059" t="inlineStr">
        <is>
          <t>ASKERSUND</t>
        </is>
      </c>
      <c r="F2059" t="inlineStr">
        <is>
          <t>Sveaskog</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5044-2022</t>
        </is>
      </c>
      <c r="B2060" s="1" t="n">
        <v>44593</v>
      </c>
      <c r="C2060" s="1" t="n">
        <v>45952</v>
      </c>
      <c r="D2060" t="inlineStr">
        <is>
          <t>ÖREBRO LÄN</t>
        </is>
      </c>
      <c r="E2060" t="inlineStr">
        <is>
          <t>ASKERSUND</t>
        </is>
      </c>
      <c r="F2060" t="inlineStr">
        <is>
          <t>Allmännings- och besparingsskogar</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5619-2023</t>
        </is>
      </c>
      <c r="B2061" s="1" t="n">
        <v>44958</v>
      </c>
      <c r="C2061" s="1" t="n">
        <v>45952</v>
      </c>
      <c r="D2061" t="inlineStr">
        <is>
          <t>ÖREBRO LÄN</t>
        </is>
      </c>
      <c r="E2061" t="inlineStr">
        <is>
          <t>ÖREBRO</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15212-2025</t>
        </is>
      </c>
      <c r="B2062" s="1" t="n">
        <v>45744.57673611111</v>
      </c>
      <c r="C2062" s="1" t="n">
        <v>45952</v>
      </c>
      <c r="D2062" t="inlineStr">
        <is>
          <t>ÖREBRO LÄN</t>
        </is>
      </c>
      <c r="E2062" t="inlineStr">
        <is>
          <t>LINDESBERG</t>
        </is>
      </c>
      <c r="F2062" t="inlineStr">
        <is>
          <t>Sveaskog</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190-2024</t>
        </is>
      </c>
      <c r="B2063" s="1" t="n">
        <v>45294.61858796296</v>
      </c>
      <c r="C2063" s="1" t="n">
        <v>45952</v>
      </c>
      <c r="D2063" t="inlineStr">
        <is>
          <t>ÖREBRO LÄN</t>
        </is>
      </c>
      <c r="E2063" t="inlineStr">
        <is>
          <t>ÖREBRO</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22659-2024</t>
        </is>
      </c>
      <c r="B2064" s="1" t="n">
        <v>45447</v>
      </c>
      <c r="C2064" s="1" t="n">
        <v>45952</v>
      </c>
      <c r="D2064" t="inlineStr">
        <is>
          <t>ÖREBRO LÄN</t>
        </is>
      </c>
      <c r="E2064" t="inlineStr">
        <is>
          <t>DEGERFORS</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38722-2025</t>
        </is>
      </c>
      <c r="B2065" s="1" t="n">
        <v>45886</v>
      </c>
      <c r="C2065" s="1" t="n">
        <v>45952</v>
      </c>
      <c r="D2065" t="inlineStr">
        <is>
          <t>ÖREBRO LÄN</t>
        </is>
      </c>
      <c r="E2065" t="inlineStr">
        <is>
          <t>LAXÅ</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54864-2024</t>
        </is>
      </c>
      <c r="B2066" s="1" t="n">
        <v>45618.59456018519</v>
      </c>
      <c r="C2066" s="1" t="n">
        <v>45952</v>
      </c>
      <c r="D2066" t="inlineStr">
        <is>
          <t>ÖREBRO LÄN</t>
        </is>
      </c>
      <c r="E2066" t="inlineStr">
        <is>
          <t>LINDESBERG</t>
        </is>
      </c>
      <c r="F2066" t="inlineStr">
        <is>
          <t>Sveaskog</t>
        </is>
      </c>
      <c r="G2066" t="n">
        <v>4.4</v>
      </c>
      <c r="H2066" t="n">
        <v>0</v>
      </c>
      <c r="I2066" t="n">
        <v>0</v>
      </c>
      <c r="J2066" t="n">
        <v>0</v>
      </c>
      <c r="K2066" t="n">
        <v>0</v>
      </c>
      <c r="L2066" t="n">
        <v>0</v>
      </c>
      <c r="M2066" t="n">
        <v>0</v>
      </c>
      <c r="N2066" t="n">
        <v>0</v>
      </c>
      <c r="O2066" t="n">
        <v>0</v>
      </c>
      <c r="P2066" t="n">
        <v>0</v>
      </c>
      <c r="Q2066" t="n">
        <v>0</v>
      </c>
      <c r="R2066" s="2" t="inlineStr"/>
    </row>
    <row r="2067" ht="15" customHeight="1">
      <c r="A2067" t="inlineStr">
        <is>
          <t>A 46667-2025</t>
        </is>
      </c>
      <c r="B2067" s="1" t="n">
        <v>45926.52738425926</v>
      </c>
      <c r="C2067" s="1" t="n">
        <v>45952</v>
      </c>
      <c r="D2067" t="inlineStr">
        <is>
          <t>ÖREBRO LÄN</t>
        </is>
      </c>
      <c r="E2067" t="inlineStr">
        <is>
          <t>HÄLLEFORS</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65076-2023</t>
        </is>
      </c>
      <c r="B2068" s="1" t="n">
        <v>45287</v>
      </c>
      <c r="C2068" s="1" t="n">
        <v>45952</v>
      </c>
      <c r="D2068" t="inlineStr">
        <is>
          <t>ÖREBRO LÄN</t>
        </is>
      </c>
      <c r="E2068" t="inlineStr">
        <is>
          <t>KUMLA</t>
        </is>
      </c>
      <c r="F2068" t="inlineStr">
        <is>
          <t>Kommuner</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37277-2022</t>
        </is>
      </c>
      <c r="B2069" s="1" t="n">
        <v>44807.49150462963</v>
      </c>
      <c r="C2069" s="1" t="n">
        <v>45952</v>
      </c>
      <c r="D2069" t="inlineStr">
        <is>
          <t>ÖREBRO LÄN</t>
        </is>
      </c>
      <c r="E2069" t="inlineStr">
        <is>
          <t>ÖREBRO</t>
        </is>
      </c>
      <c r="F2069" t="inlineStr">
        <is>
          <t>Sveaskog</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32009-2023</t>
        </is>
      </c>
      <c r="B2070" s="1" t="n">
        <v>45119</v>
      </c>
      <c r="C2070" s="1" t="n">
        <v>45952</v>
      </c>
      <c r="D2070" t="inlineStr">
        <is>
          <t>ÖREBRO LÄN</t>
        </is>
      </c>
      <c r="E2070" t="inlineStr">
        <is>
          <t>LINDESBERG</t>
        </is>
      </c>
      <c r="F2070" t="inlineStr">
        <is>
          <t>Kyrkan</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44088-2024</t>
        </is>
      </c>
      <c r="B2071" s="1" t="n">
        <v>45572.61984953703</v>
      </c>
      <c r="C2071" s="1" t="n">
        <v>45952</v>
      </c>
      <c r="D2071" t="inlineStr">
        <is>
          <t>ÖREBRO LÄN</t>
        </is>
      </c>
      <c r="E2071" t="inlineStr">
        <is>
          <t>HÄLLEFORS</t>
        </is>
      </c>
      <c r="G2071" t="n">
        <v>4</v>
      </c>
      <c r="H2071" t="n">
        <v>0</v>
      </c>
      <c r="I2071" t="n">
        <v>0</v>
      </c>
      <c r="J2071" t="n">
        <v>0</v>
      </c>
      <c r="K2071" t="n">
        <v>0</v>
      </c>
      <c r="L2071" t="n">
        <v>0</v>
      </c>
      <c r="M2071" t="n">
        <v>0</v>
      </c>
      <c r="N2071" t="n">
        <v>0</v>
      </c>
      <c r="O2071" t="n">
        <v>0</v>
      </c>
      <c r="P2071" t="n">
        <v>0</v>
      </c>
      <c r="Q2071" t="n">
        <v>0</v>
      </c>
      <c r="R2071" s="2" t="inlineStr"/>
    </row>
    <row r="2072" ht="15" customHeight="1">
      <c r="A2072" t="inlineStr">
        <is>
          <t>A 21921-2023</t>
        </is>
      </c>
      <c r="B2072" s="1" t="n">
        <v>45068.56416666666</v>
      </c>
      <c r="C2072" s="1" t="n">
        <v>45952</v>
      </c>
      <c r="D2072" t="inlineStr">
        <is>
          <t>ÖREBRO LÄN</t>
        </is>
      </c>
      <c r="E2072" t="inlineStr">
        <is>
          <t>KUMLA</t>
        </is>
      </c>
      <c r="G2072" t="n">
        <v>5.7</v>
      </c>
      <c r="H2072" t="n">
        <v>0</v>
      </c>
      <c r="I2072" t="n">
        <v>0</v>
      </c>
      <c r="J2072" t="n">
        <v>0</v>
      </c>
      <c r="K2072" t="n">
        <v>0</v>
      </c>
      <c r="L2072" t="n">
        <v>0</v>
      </c>
      <c r="M2072" t="n">
        <v>0</v>
      </c>
      <c r="N2072" t="n">
        <v>0</v>
      </c>
      <c r="O2072" t="n">
        <v>0</v>
      </c>
      <c r="P2072" t="n">
        <v>0</v>
      </c>
      <c r="Q2072" t="n">
        <v>0</v>
      </c>
      <c r="R2072" s="2" t="inlineStr"/>
    </row>
    <row r="2073" ht="15" customHeight="1">
      <c r="A2073" t="inlineStr">
        <is>
          <t>A 41886-2023</t>
        </is>
      </c>
      <c r="B2073" s="1" t="n">
        <v>45176.68957175926</v>
      </c>
      <c r="C2073" s="1" t="n">
        <v>45952</v>
      </c>
      <c r="D2073" t="inlineStr">
        <is>
          <t>ÖREBRO LÄN</t>
        </is>
      </c>
      <c r="E2073" t="inlineStr">
        <is>
          <t>HALLSBERG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36754-2024</t>
        </is>
      </c>
      <c r="B2074" s="1" t="n">
        <v>45538.34796296297</v>
      </c>
      <c r="C2074" s="1" t="n">
        <v>45952</v>
      </c>
      <c r="D2074" t="inlineStr">
        <is>
          <t>ÖREBRO LÄN</t>
        </is>
      </c>
      <c r="E2074" t="inlineStr">
        <is>
          <t>LINDESBERG</t>
        </is>
      </c>
      <c r="F2074" t="inlineStr">
        <is>
          <t>Sveaskog</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51653-2023</t>
        </is>
      </c>
      <c r="B2075" s="1" t="n">
        <v>45222</v>
      </c>
      <c r="C2075" s="1" t="n">
        <v>45952</v>
      </c>
      <c r="D2075" t="inlineStr">
        <is>
          <t>ÖREBRO LÄN</t>
        </is>
      </c>
      <c r="E2075" t="inlineStr">
        <is>
          <t>DEGERFORS</t>
        </is>
      </c>
      <c r="F2075" t="inlineStr">
        <is>
          <t>Sveaskog</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8252-2022</t>
        </is>
      </c>
      <c r="B2076" s="1" t="n">
        <v>44610.33194444444</v>
      </c>
      <c r="C2076" s="1" t="n">
        <v>45952</v>
      </c>
      <c r="D2076" t="inlineStr">
        <is>
          <t>ÖREBRO LÄN</t>
        </is>
      </c>
      <c r="E2076" t="inlineStr">
        <is>
          <t>HALLSBERG</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44511-2023</t>
        </is>
      </c>
      <c r="B2077" s="1" t="n">
        <v>45189</v>
      </c>
      <c r="C2077" s="1" t="n">
        <v>45952</v>
      </c>
      <c r="D2077" t="inlineStr">
        <is>
          <t>ÖREBRO LÄN</t>
        </is>
      </c>
      <c r="E2077" t="inlineStr">
        <is>
          <t>ÖREBRO</t>
        </is>
      </c>
      <c r="F2077" t="inlineStr">
        <is>
          <t>Allmännings- och besparingsskogar</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29644-2025</t>
        </is>
      </c>
      <c r="B2078" s="1" t="n">
        <v>45825</v>
      </c>
      <c r="C2078" s="1" t="n">
        <v>45952</v>
      </c>
      <c r="D2078" t="inlineStr">
        <is>
          <t>ÖREBRO LÄN</t>
        </is>
      </c>
      <c r="E2078" t="inlineStr">
        <is>
          <t>LAXÅ</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10492-2021</t>
        </is>
      </c>
      <c r="B2079" s="1" t="n">
        <v>44258.26988425926</v>
      </c>
      <c r="C2079" s="1" t="n">
        <v>45952</v>
      </c>
      <c r="D2079" t="inlineStr">
        <is>
          <t>ÖREBRO LÄN</t>
        </is>
      </c>
      <c r="E2079" t="inlineStr">
        <is>
          <t>KARLSKOGA</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56077-2022</t>
        </is>
      </c>
      <c r="B2080" s="1" t="n">
        <v>44889.60872685185</v>
      </c>
      <c r="C2080" s="1" t="n">
        <v>45952</v>
      </c>
      <c r="D2080" t="inlineStr">
        <is>
          <t>ÖREBRO LÄN</t>
        </is>
      </c>
      <c r="E2080" t="inlineStr">
        <is>
          <t>ÖREBRO</t>
        </is>
      </c>
      <c r="F2080" t="inlineStr">
        <is>
          <t>Övriga Aktiebolag</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8936-2025</t>
        </is>
      </c>
      <c r="B2081" s="1" t="n">
        <v>45714</v>
      </c>
      <c r="C2081" s="1" t="n">
        <v>45952</v>
      </c>
      <c r="D2081" t="inlineStr">
        <is>
          <t>ÖREBRO LÄN</t>
        </is>
      </c>
      <c r="E2081" t="inlineStr">
        <is>
          <t>NORA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54080-2023</t>
        </is>
      </c>
      <c r="B2082" s="1" t="n">
        <v>45225</v>
      </c>
      <c r="C2082" s="1" t="n">
        <v>45952</v>
      </c>
      <c r="D2082" t="inlineStr">
        <is>
          <t>ÖREBRO LÄN</t>
        </is>
      </c>
      <c r="E2082" t="inlineStr">
        <is>
          <t>KUMLA</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3148-2023</t>
        </is>
      </c>
      <c r="B2083" s="1" t="n">
        <v>44946.54424768518</v>
      </c>
      <c r="C2083" s="1" t="n">
        <v>45952</v>
      </c>
      <c r="D2083" t="inlineStr">
        <is>
          <t>ÖREBRO LÄN</t>
        </is>
      </c>
      <c r="E2083" t="inlineStr">
        <is>
          <t>LINDESBERG</t>
        </is>
      </c>
      <c r="G2083" t="n">
        <v>5.5</v>
      </c>
      <c r="H2083" t="n">
        <v>0</v>
      </c>
      <c r="I2083" t="n">
        <v>0</v>
      </c>
      <c r="J2083" t="n">
        <v>0</v>
      </c>
      <c r="K2083" t="n">
        <v>0</v>
      </c>
      <c r="L2083" t="n">
        <v>0</v>
      </c>
      <c r="M2083" t="n">
        <v>0</v>
      </c>
      <c r="N2083" t="n">
        <v>0</v>
      </c>
      <c r="O2083" t="n">
        <v>0</v>
      </c>
      <c r="P2083" t="n">
        <v>0</v>
      </c>
      <c r="Q2083" t="n">
        <v>0</v>
      </c>
      <c r="R2083" s="2" t="inlineStr"/>
    </row>
    <row r="2084" ht="15" customHeight="1">
      <c r="A2084" t="inlineStr">
        <is>
          <t>A 6902-2025</t>
        </is>
      </c>
      <c r="B2084" s="1" t="n">
        <v>45701</v>
      </c>
      <c r="C2084" s="1" t="n">
        <v>45952</v>
      </c>
      <c r="D2084" t="inlineStr">
        <is>
          <t>ÖREBRO LÄN</t>
        </is>
      </c>
      <c r="E2084" t="inlineStr">
        <is>
          <t>LAXÅ</t>
        </is>
      </c>
      <c r="F2084" t="inlineStr">
        <is>
          <t>Sveaskog</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49632-2022</t>
        </is>
      </c>
      <c r="B2085" s="1" t="n">
        <v>44862.43023148148</v>
      </c>
      <c r="C2085" s="1" t="n">
        <v>45952</v>
      </c>
      <c r="D2085" t="inlineStr">
        <is>
          <t>ÖREBRO LÄN</t>
        </is>
      </c>
      <c r="E2085" t="inlineStr">
        <is>
          <t>NORA</t>
        </is>
      </c>
      <c r="F2085" t="inlineStr">
        <is>
          <t>Sveaskog</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55191-2023</t>
        </is>
      </c>
      <c r="B2086" s="1" t="n">
        <v>45237.58084490741</v>
      </c>
      <c r="C2086" s="1" t="n">
        <v>45952</v>
      </c>
      <c r="D2086" t="inlineStr">
        <is>
          <t>ÖREBRO LÄN</t>
        </is>
      </c>
      <c r="E2086" t="inlineStr">
        <is>
          <t>KARLSKOGA</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29680-2023</t>
        </is>
      </c>
      <c r="B2087" s="1" t="n">
        <v>45098</v>
      </c>
      <c r="C2087" s="1" t="n">
        <v>45952</v>
      </c>
      <c r="D2087" t="inlineStr">
        <is>
          <t>ÖREBRO LÄN</t>
        </is>
      </c>
      <c r="E2087" t="inlineStr">
        <is>
          <t>KUMLA</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8259-2025</t>
        </is>
      </c>
      <c r="B2088" s="1" t="n">
        <v>45708.50091435185</v>
      </c>
      <c r="C2088" s="1" t="n">
        <v>45952</v>
      </c>
      <c r="D2088" t="inlineStr">
        <is>
          <t>ÖREBRO LÄN</t>
        </is>
      </c>
      <c r="E2088" t="inlineStr">
        <is>
          <t>KARLSKOGA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59630-2024</t>
        </is>
      </c>
      <c r="B2089" s="1" t="n">
        <v>45638.90166666666</v>
      </c>
      <c r="C2089" s="1" t="n">
        <v>45952</v>
      </c>
      <c r="D2089" t="inlineStr">
        <is>
          <t>ÖREBRO LÄN</t>
        </is>
      </c>
      <c r="E2089" t="inlineStr">
        <is>
          <t>LJUSNARSBERG</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40905-2023</t>
        </is>
      </c>
      <c r="B2090" s="1" t="n">
        <v>45173.39315972223</v>
      </c>
      <c r="C2090" s="1" t="n">
        <v>45952</v>
      </c>
      <c r="D2090" t="inlineStr">
        <is>
          <t>ÖREBRO LÄN</t>
        </is>
      </c>
      <c r="E2090" t="inlineStr">
        <is>
          <t>LINDESBERG</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68453-2020</t>
        </is>
      </c>
      <c r="B2091" s="1" t="n">
        <v>44183</v>
      </c>
      <c r="C2091" s="1" t="n">
        <v>45952</v>
      </c>
      <c r="D2091" t="inlineStr">
        <is>
          <t>ÖREBRO LÄN</t>
        </is>
      </c>
      <c r="E2091" t="inlineStr">
        <is>
          <t>LAXÅ</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41678-2024</t>
        </is>
      </c>
      <c r="B2092" s="1" t="n">
        <v>45560</v>
      </c>
      <c r="C2092" s="1" t="n">
        <v>45952</v>
      </c>
      <c r="D2092" t="inlineStr">
        <is>
          <t>ÖREBRO LÄN</t>
        </is>
      </c>
      <c r="E2092" t="inlineStr">
        <is>
          <t>ÖREBRO</t>
        </is>
      </c>
      <c r="G2092" t="n">
        <v>11.3</v>
      </c>
      <c r="H2092" t="n">
        <v>0</v>
      </c>
      <c r="I2092" t="n">
        <v>0</v>
      </c>
      <c r="J2092" t="n">
        <v>0</v>
      </c>
      <c r="K2092" t="n">
        <v>0</v>
      </c>
      <c r="L2092" t="n">
        <v>0</v>
      </c>
      <c r="M2092" t="n">
        <v>0</v>
      </c>
      <c r="N2092" t="n">
        <v>0</v>
      </c>
      <c r="O2092" t="n">
        <v>0</v>
      </c>
      <c r="P2092" t="n">
        <v>0</v>
      </c>
      <c r="Q2092" t="n">
        <v>0</v>
      </c>
      <c r="R2092" s="2" t="inlineStr"/>
    </row>
    <row r="2093" ht="15" customHeight="1">
      <c r="A2093" t="inlineStr">
        <is>
          <t>A 23573-2023</t>
        </is>
      </c>
      <c r="B2093" s="1" t="n">
        <v>45077.41672453703</v>
      </c>
      <c r="C2093" s="1" t="n">
        <v>45952</v>
      </c>
      <c r="D2093" t="inlineStr">
        <is>
          <t>ÖREBRO LÄN</t>
        </is>
      </c>
      <c r="E2093" t="inlineStr">
        <is>
          <t>ÖREBRO</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45862-2023</t>
        </is>
      </c>
      <c r="B2094" s="1" t="n">
        <v>45195</v>
      </c>
      <c r="C2094" s="1" t="n">
        <v>45952</v>
      </c>
      <c r="D2094" t="inlineStr">
        <is>
          <t>ÖREBRO LÄN</t>
        </is>
      </c>
      <c r="E2094" t="inlineStr">
        <is>
          <t>HALLSBERG</t>
        </is>
      </c>
      <c r="F2094" t="inlineStr">
        <is>
          <t>Allmännings- och besparingsskogar</t>
        </is>
      </c>
      <c r="G2094" t="n">
        <v>7.8</v>
      </c>
      <c r="H2094" t="n">
        <v>0</v>
      </c>
      <c r="I2094" t="n">
        <v>0</v>
      </c>
      <c r="J2094" t="n">
        <v>0</v>
      </c>
      <c r="K2094" t="n">
        <v>0</v>
      </c>
      <c r="L2094" t="n">
        <v>0</v>
      </c>
      <c r="M2094" t="n">
        <v>0</v>
      </c>
      <c r="N2094" t="n">
        <v>0</v>
      </c>
      <c r="O2094" t="n">
        <v>0</v>
      </c>
      <c r="P2094" t="n">
        <v>0</v>
      </c>
      <c r="Q2094" t="n">
        <v>0</v>
      </c>
      <c r="R2094" s="2" t="inlineStr"/>
    </row>
    <row r="2095" ht="15" customHeight="1">
      <c r="A2095" t="inlineStr">
        <is>
          <t>A 54855-2024</t>
        </is>
      </c>
      <c r="B2095" s="1" t="n">
        <v>45618.58622685185</v>
      </c>
      <c r="C2095" s="1" t="n">
        <v>45952</v>
      </c>
      <c r="D2095" t="inlineStr">
        <is>
          <t>ÖREBRO LÄN</t>
        </is>
      </c>
      <c r="E2095" t="inlineStr">
        <is>
          <t>LINDESBERG</t>
        </is>
      </c>
      <c r="F2095" t="inlineStr">
        <is>
          <t>Sveaskog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53365-2023</t>
        </is>
      </c>
      <c r="B2096" s="1" t="n">
        <v>45229.66844907407</v>
      </c>
      <c r="C2096" s="1" t="n">
        <v>45952</v>
      </c>
      <c r="D2096" t="inlineStr">
        <is>
          <t>ÖREBRO LÄN</t>
        </is>
      </c>
      <c r="E2096" t="inlineStr">
        <is>
          <t>NORA</t>
        </is>
      </c>
      <c r="F2096" t="inlineStr">
        <is>
          <t>Sveaskog</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25512-2023</t>
        </is>
      </c>
      <c r="B2097" s="1" t="n">
        <v>45089.50358796296</v>
      </c>
      <c r="C2097" s="1" t="n">
        <v>45952</v>
      </c>
      <c r="D2097" t="inlineStr">
        <is>
          <t>ÖREBRO LÄN</t>
        </is>
      </c>
      <c r="E2097" t="inlineStr">
        <is>
          <t>LAXÅ</t>
        </is>
      </c>
      <c r="F2097" t="inlineStr">
        <is>
          <t>Övriga statliga verk och myndigheter</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25515-2023</t>
        </is>
      </c>
      <c r="B2098" s="1" t="n">
        <v>45089.5080787037</v>
      </c>
      <c r="C2098" s="1" t="n">
        <v>45952</v>
      </c>
      <c r="D2098" t="inlineStr">
        <is>
          <t>ÖREBRO LÄN</t>
        </is>
      </c>
      <c r="E2098" t="inlineStr">
        <is>
          <t>LAXÅ</t>
        </is>
      </c>
      <c r="F2098" t="inlineStr">
        <is>
          <t>Övriga statliga verk och myndigheter</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29127-2024</t>
        </is>
      </c>
      <c r="B2099" s="1" t="n">
        <v>45481</v>
      </c>
      <c r="C2099" s="1" t="n">
        <v>45952</v>
      </c>
      <c r="D2099" t="inlineStr">
        <is>
          <t>ÖREBRO LÄN</t>
        </is>
      </c>
      <c r="E2099" t="inlineStr">
        <is>
          <t>ASKERSUND</t>
        </is>
      </c>
      <c r="G2099" t="n">
        <v>9</v>
      </c>
      <c r="H2099" t="n">
        <v>0</v>
      </c>
      <c r="I2099" t="n">
        <v>0</v>
      </c>
      <c r="J2099" t="n">
        <v>0</v>
      </c>
      <c r="K2099" t="n">
        <v>0</v>
      </c>
      <c r="L2099" t="n">
        <v>0</v>
      </c>
      <c r="M2099" t="n">
        <v>0</v>
      </c>
      <c r="N2099" t="n">
        <v>0</v>
      </c>
      <c r="O2099" t="n">
        <v>0</v>
      </c>
      <c r="P2099" t="n">
        <v>0</v>
      </c>
      <c r="Q2099" t="n">
        <v>0</v>
      </c>
      <c r="R2099" s="2" t="inlineStr"/>
    </row>
    <row r="2100" ht="15" customHeight="1">
      <c r="A2100" t="inlineStr">
        <is>
          <t>A 23514-2024</t>
        </is>
      </c>
      <c r="B2100" s="1" t="n">
        <v>45453.84284722222</v>
      </c>
      <c r="C2100" s="1" t="n">
        <v>45952</v>
      </c>
      <c r="D2100" t="inlineStr">
        <is>
          <t>ÖREBRO LÄN</t>
        </is>
      </c>
      <c r="E2100" t="inlineStr">
        <is>
          <t>ASKERSUND</t>
        </is>
      </c>
      <c r="F2100" t="inlineStr">
        <is>
          <t>Sveaskog</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24116-2024</t>
        </is>
      </c>
      <c r="B2101" s="1" t="n">
        <v>45456</v>
      </c>
      <c r="C2101" s="1" t="n">
        <v>45952</v>
      </c>
      <c r="D2101" t="inlineStr">
        <is>
          <t>ÖREBRO LÄN</t>
        </is>
      </c>
      <c r="E2101" t="inlineStr">
        <is>
          <t>KARLSKOGA</t>
        </is>
      </c>
      <c r="G2101" t="n">
        <v>1.8</v>
      </c>
      <c r="H2101" t="n">
        <v>0</v>
      </c>
      <c r="I2101" t="n">
        <v>0</v>
      </c>
      <c r="J2101" t="n">
        <v>0</v>
      </c>
      <c r="K2101" t="n">
        <v>0</v>
      </c>
      <c r="L2101" t="n">
        <v>0</v>
      </c>
      <c r="M2101" t="n">
        <v>0</v>
      </c>
      <c r="N2101" t="n">
        <v>0</v>
      </c>
      <c r="O2101" t="n">
        <v>0</v>
      </c>
      <c r="P2101" t="n">
        <v>0</v>
      </c>
      <c r="Q2101" t="n">
        <v>0</v>
      </c>
      <c r="R2101" s="2" t="inlineStr"/>
    </row>
    <row r="2102" ht="15" customHeight="1">
      <c r="A2102" t="inlineStr">
        <is>
          <t>A 26021-2023</t>
        </is>
      </c>
      <c r="B2102" s="1" t="n">
        <v>45091.29033564815</v>
      </c>
      <c r="C2102" s="1" t="n">
        <v>45952</v>
      </c>
      <c r="D2102" t="inlineStr">
        <is>
          <t>ÖREBRO LÄN</t>
        </is>
      </c>
      <c r="E2102" t="inlineStr">
        <is>
          <t>NORA</t>
        </is>
      </c>
      <c r="F2102" t="inlineStr">
        <is>
          <t>Kyrkan</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55475-2024</t>
        </is>
      </c>
      <c r="B2103" s="1" t="n">
        <v>45622.43645833333</v>
      </c>
      <c r="C2103" s="1" t="n">
        <v>45952</v>
      </c>
      <c r="D2103" t="inlineStr">
        <is>
          <t>ÖREBRO LÄN</t>
        </is>
      </c>
      <c r="E2103" t="inlineStr">
        <is>
          <t>LAXÅ</t>
        </is>
      </c>
      <c r="F2103" t="inlineStr">
        <is>
          <t>Sveaskog</t>
        </is>
      </c>
      <c r="G2103" t="n">
        <v>6.6</v>
      </c>
      <c r="H2103" t="n">
        <v>0</v>
      </c>
      <c r="I2103" t="n">
        <v>0</v>
      </c>
      <c r="J2103" t="n">
        <v>0</v>
      </c>
      <c r="K2103" t="n">
        <v>0</v>
      </c>
      <c r="L2103" t="n">
        <v>0</v>
      </c>
      <c r="M2103" t="n">
        <v>0</v>
      </c>
      <c r="N2103" t="n">
        <v>0</v>
      </c>
      <c r="O2103" t="n">
        <v>0</v>
      </c>
      <c r="P2103" t="n">
        <v>0</v>
      </c>
      <c r="Q2103" t="n">
        <v>0</v>
      </c>
      <c r="R2103" s="2" t="inlineStr"/>
    </row>
    <row r="2104" ht="15" customHeight="1">
      <c r="A2104" t="inlineStr">
        <is>
          <t>A 28566-2025</t>
        </is>
      </c>
      <c r="B2104" s="1" t="n">
        <v>45819</v>
      </c>
      <c r="C2104" s="1" t="n">
        <v>45952</v>
      </c>
      <c r="D2104" t="inlineStr">
        <is>
          <t>ÖREBRO LÄN</t>
        </is>
      </c>
      <c r="E2104" t="inlineStr">
        <is>
          <t>LAXÅ</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31357-2025</t>
        </is>
      </c>
      <c r="B2105" s="1" t="n">
        <v>45832</v>
      </c>
      <c r="C2105" s="1" t="n">
        <v>45952</v>
      </c>
      <c r="D2105" t="inlineStr">
        <is>
          <t>ÖREBRO LÄN</t>
        </is>
      </c>
      <c r="E2105" t="inlineStr">
        <is>
          <t>LJUSNARSBERG</t>
        </is>
      </c>
      <c r="G2105" t="n">
        <v>2.2</v>
      </c>
      <c r="H2105" t="n">
        <v>0</v>
      </c>
      <c r="I2105" t="n">
        <v>0</v>
      </c>
      <c r="J2105" t="n">
        <v>0</v>
      </c>
      <c r="K2105" t="n">
        <v>0</v>
      </c>
      <c r="L2105" t="n">
        <v>0</v>
      </c>
      <c r="M2105" t="n">
        <v>0</v>
      </c>
      <c r="N2105" t="n">
        <v>0</v>
      </c>
      <c r="O2105" t="n">
        <v>0</v>
      </c>
      <c r="P2105" t="n">
        <v>0</v>
      </c>
      <c r="Q2105" t="n">
        <v>0</v>
      </c>
      <c r="R2105" s="2" t="inlineStr"/>
    </row>
    <row r="2106" ht="15" customHeight="1">
      <c r="A2106" t="inlineStr">
        <is>
          <t>A 32040-2024</t>
        </is>
      </c>
      <c r="B2106" s="1" t="n">
        <v>45510</v>
      </c>
      <c r="C2106" s="1" t="n">
        <v>45952</v>
      </c>
      <c r="D2106" t="inlineStr">
        <is>
          <t>ÖREBRO LÄN</t>
        </is>
      </c>
      <c r="E2106" t="inlineStr">
        <is>
          <t>ASKERSUND</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6178-2024</t>
        </is>
      </c>
      <c r="B2107" s="1" t="n">
        <v>45337.53797453704</v>
      </c>
      <c r="C2107" s="1" t="n">
        <v>45952</v>
      </c>
      <c r="D2107" t="inlineStr">
        <is>
          <t>ÖREBRO LÄN</t>
        </is>
      </c>
      <c r="E2107" t="inlineStr">
        <is>
          <t>LAXÅ</t>
        </is>
      </c>
      <c r="F2107" t="inlineStr">
        <is>
          <t>Sveaskog</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46809-2025</t>
        </is>
      </c>
      <c r="B2108" s="1" t="n">
        <v>45926.69324074074</v>
      </c>
      <c r="C2108" s="1" t="n">
        <v>45952</v>
      </c>
      <c r="D2108" t="inlineStr">
        <is>
          <t>ÖREBRO LÄN</t>
        </is>
      </c>
      <c r="E2108" t="inlineStr">
        <is>
          <t>LEKEBERG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8513-2022</t>
        </is>
      </c>
      <c r="B2109" s="1" t="n">
        <v>44613</v>
      </c>
      <c r="C2109" s="1" t="n">
        <v>45952</v>
      </c>
      <c r="D2109" t="inlineStr">
        <is>
          <t>ÖREBRO LÄN</t>
        </is>
      </c>
      <c r="E2109" t="inlineStr">
        <is>
          <t>HÄLLEFORS</t>
        </is>
      </c>
      <c r="F2109" t="inlineStr">
        <is>
          <t>Bergvik skog väst AB</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40710-2021</t>
        </is>
      </c>
      <c r="B2110" s="1" t="n">
        <v>44420</v>
      </c>
      <c r="C2110" s="1" t="n">
        <v>45952</v>
      </c>
      <c r="D2110" t="inlineStr">
        <is>
          <t>ÖREBRO LÄN</t>
        </is>
      </c>
      <c r="E2110" t="inlineStr">
        <is>
          <t>NORA</t>
        </is>
      </c>
      <c r="G2110" t="n">
        <v>3.1</v>
      </c>
      <c r="H2110" t="n">
        <v>0</v>
      </c>
      <c r="I2110" t="n">
        <v>0</v>
      </c>
      <c r="J2110" t="n">
        <v>0</v>
      </c>
      <c r="K2110" t="n">
        <v>0</v>
      </c>
      <c r="L2110" t="n">
        <v>0</v>
      </c>
      <c r="M2110" t="n">
        <v>0</v>
      </c>
      <c r="N2110" t="n">
        <v>0</v>
      </c>
      <c r="O2110" t="n">
        <v>0</v>
      </c>
      <c r="P2110" t="n">
        <v>0</v>
      </c>
      <c r="Q2110" t="n">
        <v>0</v>
      </c>
      <c r="R2110" s="2" t="inlineStr"/>
    </row>
    <row r="2111" ht="15" customHeight="1">
      <c r="A2111" t="inlineStr">
        <is>
          <t>A 8026-2025</t>
        </is>
      </c>
      <c r="B2111" s="1" t="n">
        <v>45707</v>
      </c>
      <c r="C2111" s="1" t="n">
        <v>45952</v>
      </c>
      <c r="D2111" t="inlineStr">
        <is>
          <t>ÖREBRO LÄN</t>
        </is>
      </c>
      <c r="E2111" t="inlineStr">
        <is>
          <t>ASKERSUND</t>
        </is>
      </c>
      <c r="F2111" t="inlineStr">
        <is>
          <t>Sveaskog</t>
        </is>
      </c>
      <c r="G2111" t="n">
        <v>0.2</v>
      </c>
      <c r="H2111" t="n">
        <v>0</v>
      </c>
      <c r="I2111" t="n">
        <v>0</v>
      </c>
      <c r="J2111" t="n">
        <v>0</v>
      </c>
      <c r="K2111" t="n">
        <v>0</v>
      </c>
      <c r="L2111" t="n">
        <v>0</v>
      </c>
      <c r="M2111" t="n">
        <v>0</v>
      </c>
      <c r="N2111" t="n">
        <v>0</v>
      </c>
      <c r="O2111" t="n">
        <v>0</v>
      </c>
      <c r="P2111" t="n">
        <v>0</v>
      </c>
      <c r="Q2111" t="n">
        <v>0</v>
      </c>
      <c r="R2111" s="2" t="inlineStr"/>
    </row>
    <row r="2112" ht="15" customHeight="1">
      <c r="A2112" t="inlineStr">
        <is>
          <t>A 15269-2025</t>
        </is>
      </c>
      <c r="B2112" s="1" t="n">
        <v>45744.66511574074</v>
      </c>
      <c r="C2112" s="1" t="n">
        <v>45952</v>
      </c>
      <c r="D2112" t="inlineStr">
        <is>
          <t>ÖREBRO LÄN</t>
        </is>
      </c>
      <c r="E2112" t="inlineStr">
        <is>
          <t>KARLSKOGA</t>
        </is>
      </c>
      <c r="F2112" t="inlineStr">
        <is>
          <t>Sveaskog</t>
        </is>
      </c>
      <c r="G2112" t="n">
        <v>3.1</v>
      </c>
      <c r="H2112" t="n">
        <v>0</v>
      </c>
      <c r="I2112" t="n">
        <v>0</v>
      </c>
      <c r="J2112" t="n">
        <v>0</v>
      </c>
      <c r="K2112" t="n">
        <v>0</v>
      </c>
      <c r="L2112" t="n">
        <v>0</v>
      </c>
      <c r="M2112" t="n">
        <v>0</v>
      </c>
      <c r="N2112" t="n">
        <v>0</v>
      </c>
      <c r="O2112" t="n">
        <v>0</v>
      </c>
      <c r="P2112" t="n">
        <v>0</v>
      </c>
      <c r="Q2112" t="n">
        <v>0</v>
      </c>
      <c r="R2112" s="2" t="inlineStr"/>
    </row>
    <row r="2113" ht="15" customHeight="1">
      <c r="A2113" t="inlineStr">
        <is>
          <t>A 1354-2024</t>
        </is>
      </c>
      <c r="B2113" s="1" t="n">
        <v>45303</v>
      </c>
      <c r="C2113" s="1" t="n">
        <v>45952</v>
      </c>
      <c r="D2113" t="inlineStr">
        <is>
          <t>ÖREBRO LÄN</t>
        </is>
      </c>
      <c r="E2113" t="inlineStr">
        <is>
          <t>LINDESBERG</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11476-2023</t>
        </is>
      </c>
      <c r="B2114" s="1" t="n">
        <v>44993</v>
      </c>
      <c r="C2114" s="1" t="n">
        <v>45952</v>
      </c>
      <c r="D2114" t="inlineStr">
        <is>
          <t>ÖREBRO LÄN</t>
        </is>
      </c>
      <c r="E2114" t="inlineStr">
        <is>
          <t>LAXÅ</t>
        </is>
      </c>
      <c r="F2114" t="inlineStr">
        <is>
          <t>Sveaskog</t>
        </is>
      </c>
      <c r="G2114" t="n">
        <v>6.2</v>
      </c>
      <c r="H2114" t="n">
        <v>0</v>
      </c>
      <c r="I2114" t="n">
        <v>0</v>
      </c>
      <c r="J2114" t="n">
        <v>0</v>
      </c>
      <c r="K2114" t="n">
        <v>0</v>
      </c>
      <c r="L2114" t="n">
        <v>0</v>
      </c>
      <c r="M2114" t="n">
        <v>0</v>
      </c>
      <c r="N2114" t="n">
        <v>0</v>
      </c>
      <c r="O2114" t="n">
        <v>0</v>
      </c>
      <c r="P2114" t="n">
        <v>0</v>
      </c>
      <c r="Q2114" t="n">
        <v>0</v>
      </c>
      <c r="R2114" s="2" t="inlineStr"/>
    </row>
    <row r="2115" ht="15" customHeight="1">
      <c r="A2115" t="inlineStr">
        <is>
          <t>A 11477-2023</t>
        </is>
      </c>
      <c r="B2115" s="1" t="n">
        <v>44993</v>
      </c>
      <c r="C2115" s="1" t="n">
        <v>45952</v>
      </c>
      <c r="D2115" t="inlineStr">
        <is>
          <t>ÖREBRO LÄN</t>
        </is>
      </c>
      <c r="E2115" t="inlineStr">
        <is>
          <t>LAXÅ</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11492-2023</t>
        </is>
      </c>
      <c r="B2116" s="1" t="n">
        <v>44993</v>
      </c>
      <c r="C2116" s="1" t="n">
        <v>45952</v>
      </c>
      <c r="D2116" t="inlineStr">
        <is>
          <t>ÖREBRO LÄN</t>
        </is>
      </c>
      <c r="E2116" t="inlineStr">
        <is>
          <t>ASKERSUND</t>
        </is>
      </c>
      <c r="G2116" t="n">
        <v>9.699999999999999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27001-2024</t>
        </is>
      </c>
      <c r="B2117" s="1" t="n">
        <v>45471.38995370371</v>
      </c>
      <c r="C2117" s="1" t="n">
        <v>45952</v>
      </c>
      <c r="D2117" t="inlineStr">
        <is>
          <t>ÖREBRO LÄN</t>
        </is>
      </c>
      <c r="E2117" t="inlineStr">
        <is>
          <t>LINDESBERG</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35188-2023</t>
        </is>
      </c>
      <c r="B2118" s="1" t="n">
        <v>45145.60365740741</v>
      </c>
      <c r="C2118" s="1" t="n">
        <v>45952</v>
      </c>
      <c r="D2118" t="inlineStr">
        <is>
          <t>ÖREBRO LÄN</t>
        </is>
      </c>
      <c r="E2118" t="inlineStr">
        <is>
          <t>HÄLLEFORS</t>
        </is>
      </c>
      <c r="F2118" t="inlineStr">
        <is>
          <t>Bergvik skog väst AB</t>
        </is>
      </c>
      <c r="G2118" t="n">
        <v>12.9</v>
      </c>
      <c r="H2118" t="n">
        <v>0</v>
      </c>
      <c r="I2118" t="n">
        <v>0</v>
      </c>
      <c r="J2118" t="n">
        <v>0</v>
      </c>
      <c r="K2118" t="n">
        <v>0</v>
      </c>
      <c r="L2118" t="n">
        <v>0</v>
      </c>
      <c r="M2118" t="n">
        <v>0</v>
      </c>
      <c r="N2118" t="n">
        <v>0</v>
      </c>
      <c r="O2118" t="n">
        <v>0</v>
      </c>
      <c r="P2118" t="n">
        <v>0</v>
      </c>
      <c r="Q2118" t="n">
        <v>0</v>
      </c>
      <c r="R2118" s="2" t="inlineStr"/>
    </row>
    <row r="2119" ht="15" customHeight="1">
      <c r="A2119" t="inlineStr">
        <is>
          <t>A 19857-2022</t>
        </is>
      </c>
      <c r="B2119" s="1" t="n">
        <v>44694</v>
      </c>
      <c r="C2119" s="1" t="n">
        <v>45952</v>
      </c>
      <c r="D2119" t="inlineStr">
        <is>
          <t>ÖREBRO LÄN</t>
        </is>
      </c>
      <c r="E2119" t="inlineStr">
        <is>
          <t>LJUSNARSBERG</t>
        </is>
      </c>
      <c r="F2119" t="inlineStr">
        <is>
          <t>Bergvik skog väst AB</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61593-2023</t>
        </is>
      </c>
      <c r="B2120" s="1" t="n">
        <v>45265</v>
      </c>
      <c r="C2120" s="1" t="n">
        <v>45952</v>
      </c>
      <c r="D2120" t="inlineStr">
        <is>
          <t>ÖREBRO LÄN</t>
        </is>
      </c>
      <c r="E2120" t="inlineStr">
        <is>
          <t>ÖREBRO</t>
        </is>
      </c>
      <c r="G2120" t="n">
        <v>2.5</v>
      </c>
      <c r="H2120" t="n">
        <v>0</v>
      </c>
      <c r="I2120" t="n">
        <v>0</v>
      </c>
      <c r="J2120" t="n">
        <v>0</v>
      </c>
      <c r="K2120" t="n">
        <v>0</v>
      </c>
      <c r="L2120" t="n">
        <v>0</v>
      </c>
      <c r="M2120" t="n">
        <v>0</v>
      </c>
      <c r="N2120" t="n">
        <v>0</v>
      </c>
      <c r="O2120" t="n">
        <v>0</v>
      </c>
      <c r="P2120" t="n">
        <v>0</v>
      </c>
      <c r="Q2120" t="n">
        <v>0</v>
      </c>
      <c r="R2120" s="2" t="inlineStr"/>
    </row>
    <row r="2121" ht="15" customHeight="1">
      <c r="A2121" t="inlineStr">
        <is>
          <t>A 12678-2025</t>
        </is>
      </c>
      <c r="B2121" s="1" t="n">
        <v>45733.44137731481</v>
      </c>
      <c r="C2121" s="1" t="n">
        <v>45952</v>
      </c>
      <c r="D2121" t="inlineStr">
        <is>
          <t>ÖREBRO LÄN</t>
        </is>
      </c>
      <c r="E2121" t="inlineStr">
        <is>
          <t>DEGERFORS</t>
        </is>
      </c>
      <c r="F2121" t="inlineStr">
        <is>
          <t>Sveaskog</t>
        </is>
      </c>
      <c r="G2121" t="n">
        <v>9.699999999999999</v>
      </c>
      <c r="H2121" t="n">
        <v>0</v>
      </c>
      <c r="I2121" t="n">
        <v>0</v>
      </c>
      <c r="J2121" t="n">
        <v>0</v>
      </c>
      <c r="K2121" t="n">
        <v>0</v>
      </c>
      <c r="L2121" t="n">
        <v>0</v>
      </c>
      <c r="M2121" t="n">
        <v>0</v>
      </c>
      <c r="N2121" t="n">
        <v>0</v>
      </c>
      <c r="O2121" t="n">
        <v>0</v>
      </c>
      <c r="P2121" t="n">
        <v>0</v>
      </c>
      <c r="Q2121" t="n">
        <v>0</v>
      </c>
      <c r="R2121" s="2" t="inlineStr"/>
    </row>
    <row r="2122" ht="15" customHeight="1">
      <c r="A2122" t="inlineStr">
        <is>
          <t>A 12697-2025</t>
        </is>
      </c>
      <c r="B2122" s="1" t="n">
        <v>45733.46217592592</v>
      </c>
      <c r="C2122" s="1" t="n">
        <v>45952</v>
      </c>
      <c r="D2122" t="inlineStr">
        <is>
          <t>ÖREBRO LÄN</t>
        </is>
      </c>
      <c r="E2122" t="inlineStr">
        <is>
          <t>ASKERSUND</t>
        </is>
      </c>
      <c r="F2122" t="inlineStr">
        <is>
          <t>Sveaskog</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62770-2020</t>
        </is>
      </c>
      <c r="B2123" s="1" t="n">
        <v>44161</v>
      </c>
      <c r="C2123" s="1" t="n">
        <v>45952</v>
      </c>
      <c r="D2123" t="inlineStr">
        <is>
          <t>ÖREBRO LÄN</t>
        </is>
      </c>
      <c r="E2123" t="inlineStr">
        <is>
          <t>LINDESBERG</t>
        </is>
      </c>
      <c r="F2123" t="inlineStr">
        <is>
          <t>Sveaskog</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33457-2023</t>
        </is>
      </c>
      <c r="B2124" s="1" t="n">
        <v>45131</v>
      </c>
      <c r="C2124" s="1" t="n">
        <v>45952</v>
      </c>
      <c r="D2124" t="inlineStr">
        <is>
          <t>ÖREBRO LÄN</t>
        </is>
      </c>
      <c r="E2124" t="inlineStr">
        <is>
          <t>ÖREBRO</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10673-2023</t>
        </is>
      </c>
      <c r="B2125" s="1" t="n">
        <v>44988.54459490741</v>
      </c>
      <c r="C2125" s="1" t="n">
        <v>45952</v>
      </c>
      <c r="D2125" t="inlineStr">
        <is>
          <t>ÖREBRO LÄN</t>
        </is>
      </c>
      <c r="E2125" t="inlineStr">
        <is>
          <t>LAXÅ</t>
        </is>
      </c>
      <c r="F2125" t="inlineStr">
        <is>
          <t>Sveaskog</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52447-2024</t>
        </is>
      </c>
      <c r="B2126" s="1" t="n">
        <v>45609.49157407408</v>
      </c>
      <c r="C2126" s="1" t="n">
        <v>45952</v>
      </c>
      <c r="D2126" t="inlineStr">
        <is>
          <t>ÖREBRO LÄN</t>
        </is>
      </c>
      <c r="E2126" t="inlineStr">
        <is>
          <t>ÖREBRO</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41669-2021</t>
        </is>
      </c>
      <c r="B2127" s="1" t="n">
        <v>44425</v>
      </c>
      <c r="C2127" s="1" t="n">
        <v>45952</v>
      </c>
      <c r="D2127" t="inlineStr">
        <is>
          <t>ÖREBRO LÄN</t>
        </is>
      </c>
      <c r="E2127" t="inlineStr">
        <is>
          <t>NORA</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40042-2023</t>
        </is>
      </c>
      <c r="B2128" s="1" t="n">
        <v>45167</v>
      </c>
      <c r="C2128" s="1" t="n">
        <v>45952</v>
      </c>
      <c r="D2128" t="inlineStr">
        <is>
          <t>ÖREBRO LÄN</t>
        </is>
      </c>
      <c r="E2128" t="inlineStr">
        <is>
          <t>KUMLA</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40085-2023</t>
        </is>
      </c>
      <c r="B2129" s="1" t="n">
        <v>45168.92155092592</v>
      </c>
      <c r="C2129" s="1" t="n">
        <v>45952</v>
      </c>
      <c r="D2129" t="inlineStr">
        <is>
          <t>ÖREBRO LÄN</t>
        </is>
      </c>
      <c r="E2129" t="inlineStr">
        <is>
          <t>LINDESBERG</t>
        </is>
      </c>
      <c r="G2129" t="n">
        <v>6.1</v>
      </c>
      <c r="H2129" t="n">
        <v>0</v>
      </c>
      <c r="I2129" t="n">
        <v>0</v>
      </c>
      <c r="J2129" t="n">
        <v>0</v>
      </c>
      <c r="K2129" t="n">
        <v>0</v>
      </c>
      <c r="L2129" t="n">
        <v>0</v>
      </c>
      <c r="M2129" t="n">
        <v>0</v>
      </c>
      <c r="N2129" t="n">
        <v>0</v>
      </c>
      <c r="O2129" t="n">
        <v>0</v>
      </c>
      <c r="P2129" t="n">
        <v>0</v>
      </c>
      <c r="Q2129" t="n">
        <v>0</v>
      </c>
      <c r="R2129" s="2" t="inlineStr"/>
    </row>
    <row r="2130" ht="15" customHeight="1">
      <c r="A2130" t="inlineStr">
        <is>
          <t>A 40117-2023</t>
        </is>
      </c>
      <c r="B2130" s="1" t="n">
        <v>45168.94197916667</v>
      </c>
      <c r="C2130" s="1" t="n">
        <v>45952</v>
      </c>
      <c r="D2130" t="inlineStr">
        <is>
          <t>ÖREBRO LÄN</t>
        </is>
      </c>
      <c r="E2130" t="inlineStr">
        <is>
          <t>LINDESBERG</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41089-2022</t>
        </is>
      </c>
      <c r="B2131" s="1" t="n">
        <v>44825.64613425926</v>
      </c>
      <c r="C2131" s="1" t="n">
        <v>45952</v>
      </c>
      <c r="D2131" t="inlineStr">
        <is>
          <t>ÖREBRO LÄN</t>
        </is>
      </c>
      <c r="E2131" t="inlineStr">
        <is>
          <t>HÄLLEFORS</t>
        </is>
      </c>
      <c r="F2131" t="inlineStr">
        <is>
          <t>Sveaskog</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43803-2023</t>
        </is>
      </c>
      <c r="B2132" s="1" t="n">
        <v>45187</v>
      </c>
      <c r="C2132" s="1" t="n">
        <v>45952</v>
      </c>
      <c r="D2132" t="inlineStr">
        <is>
          <t>ÖREBRO LÄN</t>
        </is>
      </c>
      <c r="E2132" t="inlineStr">
        <is>
          <t>ÖREBRO</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37698-2023</t>
        </is>
      </c>
      <c r="B2133" s="1" t="n">
        <v>45159.57568287037</v>
      </c>
      <c r="C2133" s="1" t="n">
        <v>45952</v>
      </c>
      <c r="D2133" t="inlineStr">
        <is>
          <t>ÖREBRO LÄN</t>
        </is>
      </c>
      <c r="E2133" t="inlineStr">
        <is>
          <t>HALLSBERG</t>
        </is>
      </c>
      <c r="G2133" t="n">
        <v>2</v>
      </c>
      <c r="H2133" t="n">
        <v>0</v>
      </c>
      <c r="I2133" t="n">
        <v>0</v>
      </c>
      <c r="J2133" t="n">
        <v>0</v>
      </c>
      <c r="K2133" t="n">
        <v>0</v>
      </c>
      <c r="L2133" t="n">
        <v>0</v>
      </c>
      <c r="M2133" t="n">
        <v>0</v>
      </c>
      <c r="N2133" t="n">
        <v>0</v>
      </c>
      <c r="O2133" t="n">
        <v>0</v>
      </c>
      <c r="P2133" t="n">
        <v>0</v>
      </c>
      <c r="Q2133" t="n">
        <v>0</v>
      </c>
      <c r="R2133" s="2" t="inlineStr"/>
    </row>
    <row r="2134" ht="15" customHeight="1">
      <c r="A2134" t="inlineStr">
        <is>
          <t>A 55943-2024</t>
        </is>
      </c>
      <c r="B2134" s="1" t="n">
        <v>45623.61278935185</v>
      </c>
      <c r="C2134" s="1" t="n">
        <v>45952</v>
      </c>
      <c r="D2134" t="inlineStr">
        <is>
          <t>ÖREBRO LÄN</t>
        </is>
      </c>
      <c r="E2134" t="inlineStr">
        <is>
          <t>ÖREBRO</t>
        </is>
      </c>
      <c r="G2134" t="n">
        <v>4.8</v>
      </c>
      <c r="H2134" t="n">
        <v>0</v>
      </c>
      <c r="I2134" t="n">
        <v>0</v>
      </c>
      <c r="J2134" t="n">
        <v>0</v>
      </c>
      <c r="K2134" t="n">
        <v>0</v>
      </c>
      <c r="L2134" t="n">
        <v>0</v>
      </c>
      <c r="M2134" t="n">
        <v>0</v>
      </c>
      <c r="N2134" t="n">
        <v>0</v>
      </c>
      <c r="O2134" t="n">
        <v>0</v>
      </c>
      <c r="P2134" t="n">
        <v>0</v>
      </c>
      <c r="Q2134" t="n">
        <v>0</v>
      </c>
      <c r="R2134" s="2" t="inlineStr"/>
    </row>
    <row r="2135" ht="15" customHeight="1">
      <c r="A2135" t="inlineStr">
        <is>
          <t>A 13418-2024</t>
        </is>
      </c>
      <c r="B2135" s="1" t="n">
        <v>45387.46482638889</v>
      </c>
      <c r="C2135" s="1" t="n">
        <v>45952</v>
      </c>
      <c r="D2135" t="inlineStr">
        <is>
          <t>ÖREBRO LÄN</t>
        </is>
      </c>
      <c r="E2135" t="inlineStr">
        <is>
          <t>ÖREBRO</t>
        </is>
      </c>
      <c r="G2135" t="n">
        <v>4.2</v>
      </c>
      <c r="H2135" t="n">
        <v>0</v>
      </c>
      <c r="I2135" t="n">
        <v>0</v>
      </c>
      <c r="J2135" t="n">
        <v>0</v>
      </c>
      <c r="K2135" t="n">
        <v>0</v>
      </c>
      <c r="L2135" t="n">
        <v>0</v>
      </c>
      <c r="M2135" t="n">
        <v>0</v>
      </c>
      <c r="N2135" t="n">
        <v>0</v>
      </c>
      <c r="O2135" t="n">
        <v>0</v>
      </c>
      <c r="P2135" t="n">
        <v>0</v>
      </c>
      <c r="Q2135" t="n">
        <v>0</v>
      </c>
      <c r="R2135" s="2" t="inlineStr"/>
    </row>
    <row r="2136" ht="15" customHeight="1">
      <c r="A2136" t="inlineStr">
        <is>
          <t>A 26067-2022</t>
        </is>
      </c>
      <c r="B2136" s="1" t="n">
        <v>44734.64337962963</v>
      </c>
      <c r="C2136" s="1" t="n">
        <v>45952</v>
      </c>
      <c r="D2136" t="inlineStr">
        <is>
          <t>ÖREBRO LÄN</t>
        </is>
      </c>
      <c r="E2136" t="inlineStr">
        <is>
          <t>LINDESBERG</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59395-2022</t>
        </is>
      </c>
      <c r="B2137" s="1" t="n">
        <v>44906.73321759259</v>
      </c>
      <c r="C2137" s="1" t="n">
        <v>45952</v>
      </c>
      <c r="D2137" t="inlineStr">
        <is>
          <t>ÖREBRO LÄN</t>
        </is>
      </c>
      <c r="E2137" t="inlineStr">
        <is>
          <t>LINDESBERG</t>
        </is>
      </c>
      <c r="G2137" t="n">
        <v>4.3</v>
      </c>
      <c r="H2137" t="n">
        <v>0</v>
      </c>
      <c r="I2137" t="n">
        <v>0</v>
      </c>
      <c r="J2137" t="n">
        <v>0</v>
      </c>
      <c r="K2137" t="n">
        <v>0</v>
      </c>
      <c r="L2137" t="n">
        <v>0</v>
      </c>
      <c r="M2137" t="n">
        <v>0</v>
      </c>
      <c r="N2137" t="n">
        <v>0</v>
      </c>
      <c r="O2137" t="n">
        <v>0</v>
      </c>
      <c r="P2137" t="n">
        <v>0</v>
      </c>
      <c r="Q2137" t="n">
        <v>0</v>
      </c>
      <c r="R2137" s="2" t="inlineStr"/>
    </row>
    <row r="2138" ht="15" customHeight="1">
      <c r="A2138" t="inlineStr">
        <is>
          <t>A 29436-2023</t>
        </is>
      </c>
      <c r="B2138" s="1" t="n">
        <v>45106.49378472222</v>
      </c>
      <c r="C2138" s="1" t="n">
        <v>45952</v>
      </c>
      <c r="D2138" t="inlineStr">
        <is>
          <t>ÖREBRO LÄN</t>
        </is>
      </c>
      <c r="E2138" t="inlineStr">
        <is>
          <t>LJUSNARSBERG</t>
        </is>
      </c>
      <c r="G2138" t="n">
        <v>4.9</v>
      </c>
      <c r="H2138" t="n">
        <v>0</v>
      </c>
      <c r="I2138" t="n">
        <v>0</v>
      </c>
      <c r="J2138" t="n">
        <v>0</v>
      </c>
      <c r="K2138" t="n">
        <v>0</v>
      </c>
      <c r="L2138" t="n">
        <v>0</v>
      </c>
      <c r="M2138" t="n">
        <v>0</v>
      </c>
      <c r="N2138" t="n">
        <v>0</v>
      </c>
      <c r="O2138" t="n">
        <v>0</v>
      </c>
      <c r="P2138" t="n">
        <v>0</v>
      </c>
      <c r="Q2138" t="n">
        <v>0</v>
      </c>
      <c r="R2138" s="2" t="inlineStr"/>
    </row>
    <row r="2139" ht="15" customHeight="1">
      <c r="A2139" t="inlineStr">
        <is>
          <t>A 59024-2024</t>
        </is>
      </c>
      <c r="B2139" s="1" t="n">
        <v>45636.68505787037</v>
      </c>
      <c r="C2139" s="1" t="n">
        <v>45952</v>
      </c>
      <c r="D2139" t="inlineStr">
        <is>
          <t>ÖREBRO LÄN</t>
        </is>
      </c>
      <c r="E2139" t="inlineStr">
        <is>
          <t>ÖREBRO</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59025-2024</t>
        </is>
      </c>
      <c r="B2140" s="1" t="n">
        <v>45636.68592592593</v>
      </c>
      <c r="C2140" s="1" t="n">
        <v>45952</v>
      </c>
      <c r="D2140" t="inlineStr">
        <is>
          <t>ÖREBRO LÄN</t>
        </is>
      </c>
      <c r="E2140" t="inlineStr">
        <is>
          <t>KARLSKOGA</t>
        </is>
      </c>
      <c r="F2140" t="inlineStr">
        <is>
          <t>Kyrkan</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19997-2022</t>
        </is>
      </c>
      <c r="B2141" s="1" t="n">
        <v>44697</v>
      </c>
      <c r="C2141" s="1" t="n">
        <v>45952</v>
      </c>
      <c r="D2141" t="inlineStr">
        <is>
          <t>ÖREBRO LÄN</t>
        </is>
      </c>
      <c r="E2141" t="inlineStr">
        <is>
          <t>ASKERSUND</t>
        </is>
      </c>
      <c r="G2141" t="n">
        <v>5.6</v>
      </c>
      <c r="H2141" t="n">
        <v>0</v>
      </c>
      <c r="I2141" t="n">
        <v>0</v>
      </c>
      <c r="J2141" t="n">
        <v>0</v>
      </c>
      <c r="K2141" t="n">
        <v>0</v>
      </c>
      <c r="L2141" t="n">
        <v>0</v>
      </c>
      <c r="M2141" t="n">
        <v>0</v>
      </c>
      <c r="N2141" t="n">
        <v>0</v>
      </c>
      <c r="O2141" t="n">
        <v>0</v>
      </c>
      <c r="P2141" t="n">
        <v>0</v>
      </c>
      <c r="Q2141" t="n">
        <v>0</v>
      </c>
      <c r="R2141" s="2" t="inlineStr"/>
    </row>
    <row r="2142" ht="15" customHeight="1">
      <c r="A2142" t="inlineStr">
        <is>
          <t>A 19043-2023</t>
        </is>
      </c>
      <c r="B2142" s="1" t="n">
        <v>45047.7181712963</v>
      </c>
      <c r="C2142" s="1" t="n">
        <v>45952</v>
      </c>
      <c r="D2142" t="inlineStr">
        <is>
          <t>ÖREBRO LÄN</t>
        </is>
      </c>
      <c r="E2142" t="inlineStr">
        <is>
          <t>LINDESBERG</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41343-2021</t>
        </is>
      </c>
      <c r="B2143" s="1" t="n">
        <v>44424.61709490741</v>
      </c>
      <c r="C2143" s="1" t="n">
        <v>45952</v>
      </c>
      <c r="D2143" t="inlineStr">
        <is>
          <t>ÖREBRO LÄN</t>
        </is>
      </c>
      <c r="E2143" t="inlineStr">
        <is>
          <t>LINDESBERG</t>
        </is>
      </c>
      <c r="G2143" t="n">
        <v>8.9</v>
      </c>
      <c r="H2143" t="n">
        <v>0</v>
      </c>
      <c r="I2143" t="n">
        <v>0</v>
      </c>
      <c r="J2143" t="n">
        <v>0</v>
      </c>
      <c r="K2143" t="n">
        <v>0</v>
      </c>
      <c r="L2143" t="n">
        <v>0</v>
      </c>
      <c r="M2143" t="n">
        <v>0</v>
      </c>
      <c r="N2143" t="n">
        <v>0</v>
      </c>
      <c r="O2143" t="n">
        <v>0</v>
      </c>
      <c r="P2143" t="n">
        <v>0</v>
      </c>
      <c r="Q2143" t="n">
        <v>0</v>
      </c>
      <c r="R2143" s="2" t="inlineStr"/>
    </row>
    <row r="2144" ht="15" customHeight="1">
      <c r="A2144" t="inlineStr">
        <is>
          <t>A 20577-2023</t>
        </is>
      </c>
      <c r="B2144" s="1" t="n">
        <v>45057</v>
      </c>
      <c r="C2144" s="1" t="n">
        <v>45952</v>
      </c>
      <c r="D2144" t="inlineStr">
        <is>
          <t>ÖREBRO LÄN</t>
        </is>
      </c>
      <c r="E2144" t="inlineStr">
        <is>
          <t>DEGERFORS</t>
        </is>
      </c>
      <c r="F2144" t="inlineStr">
        <is>
          <t>Sveaskog</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29662-2022</t>
        </is>
      </c>
      <c r="B2145" s="1" t="n">
        <v>44754</v>
      </c>
      <c r="C2145" s="1" t="n">
        <v>45952</v>
      </c>
      <c r="D2145" t="inlineStr">
        <is>
          <t>ÖREBRO LÄN</t>
        </is>
      </c>
      <c r="E2145" t="inlineStr">
        <is>
          <t>HÄLLEFORS</t>
        </is>
      </c>
      <c r="F2145" t="inlineStr">
        <is>
          <t>Bergvik skog väst AB</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67865-2020</t>
        </is>
      </c>
      <c r="B2146" s="1" t="n">
        <v>44182</v>
      </c>
      <c r="C2146" s="1" t="n">
        <v>45952</v>
      </c>
      <c r="D2146" t="inlineStr">
        <is>
          <t>ÖREBRO LÄN</t>
        </is>
      </c>
      <c r="E2146" t="inlineStr">
        <is>
          <t>LAXÅ</t>
        </is>
      </c>
      <c r="F2146" t="inlineStr">
        <is>
          <t>Sveaskog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21390-2024</t>
        </is>
      </c>
      <c r="B2147" s="1" t="n">
        <v>45441.30899305556</v>
      </c>
      <c r="C2147" s="1" t="n">
        <v>45952</v>
      </c>
      <c r="D2147" t="inlineStr">
        <is>
          <t>ÖREBRO LÄN</t>
        </is>
      </c>
      <c r="E2147" t="inlineStr">
        <is>
          <t>LINDESBERG</t>
        </is>
      </c>
      <c r="F2147" t="inlineStr">
        <is>
          <t>Sveaskog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21392-2024</t>
        </is>
      </c>
      <c r="B2148" s="1" t="n">
        <v>45441.30998842593</v>
      </c>
      <c r="C2148" s="1" t="n">
        <v>45952</v>
      </c>
      <c r="D2148" t="inlineStr">
        <is>
          <t>ÖREBRO LÄN</t>
        </is>
      </c>
      <c r="E2148" t="inlineStr">
        <is>
          <t>LINDESBERG</t>
        </is>
      </c>
      <c r="F2148" t="inlineStr">
        <is>
          <t>Sveaskog</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49709-2023</t>
        </is>
      </c>
      <c r="B2149" s="1" t="n">
        <v>45212</v>
      </c>
      <c r="C2149" s="1" t="n">
        <v>45952</v>
      </c>
      <c r="D2149" t="inlineStr">
        <is>
          <t>ÖREBRO LÄN</t>
        </is>
      </c>
      <c r="E2149" t="inlineStr">
        <is>
          <t>HÄLLEFORS</t>
        </is>
      </c>
      <c r="F2149" t="inlineStr">
        <is>
          <t>Bergvik skog väst AB</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7141-2025</t>
        </is>
      </c>
      <c r="B2150" s="1" t="n">
        <v>45702</v>
      </c>
      <c r="C2150" s="1" t="n">
        <v>45952</v>
      </c>
      <c r="D2150" t="inlineStr">
        <is>
          <t>ÖREBRO LÄN</t>
        </is>
      </c>
      <c r="E2150" t="inlineStr">
        <is>
          <t>ÖREBRO</t>
        </is>
      </c>
      <c r="G2150" t="n">
        <v>2.9</v>
      </c>
      <c r="H2150" t="n">
        <v>0</v>
      </c>
      <c r="I2150" t="n">
        <v>0</v>
      </c>
      <c r="J2150" t="n">
        <v>0</v>
      </c>
      <c r="K2150" t="n">
        <v>0</v>
      </c>
      <c r="L2150" t="n">
        <v>0</v>
      </c>
      <c r="M2150" t="n">
        <v>0</v>
      </c>
      <c r="N2150" t="n">
        <v>0</v>
      </c>
      <c r="O2150" t="n">
        <v>0</v>
      </c>
      <c r="P2150" t="n">
        <v>0</v>
      </c>
      <c r="Q2150" t="n">
        <v>0</v>
      </c>
      <c r="R2150" s="2" t="inlineStr"/>
    </row>
    <row r="2151" ht="15" customHeight="1">
      <c r="A2151" t="inlineStr">
        <is>
          <t>A 20170-2023</t>
        </is>
      </c>
      <c r="B2151" s="1" t="n">
        <v>45055</v>
      </c>
      <c r="C2151" s="1" t="n">
        <v>45952</v>
      </c>
      <c r="D2151" t="inlineStr">
        <is>
          <t>ÖREBRO LÄN</t>
        </is>
      </c>
      <c r="E2151" t="inlineStr">
        <is>
          <t>HÄLLEFORS</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43416-2024</t>
        </is>
      </c>
      <c r="B2152" s="1" t="n">
        <v>45568.62625</v>
      </c>
      <c r="C2152" s="1" t="n">
        <v>45952</v>
      </c>
      <c r="D2152" t="inlineStr">
        <is>
          <t>ÖREBRO LÄN</t>
        </is>
      </c>
      <c r="E2152" t="inlineStr">
        <is>
          <t>LINDESBERG</t>
        </is>
      </c>
      <c r="F2152" t="inlineStr">
        <is>
          <t>Sveaskog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10339-2023</t>
        </is>
      </c>
      <c r="B2153" s="1" t="n">
        <v>44987</v>
      </c>
      <c r="C2153" s="1" t="n">
        <v>45952</v>
      </c>
      <c r="D2153" t="inlineStr">
        <is>
          <t>ÖREBRO LÄN</t>
        </is>
      </c>
      <c r="E2153" t="inlineStr">
        <is>
          <t>ÖREBRO</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21448-2024</t>
        </is>
      </c>
      <c r="B2154" s="1" t="n">
        <v>45441</v>
      </c>
      <c r="C2154" s="1" t="n">
        <v>45952</v>
      </c>
      <c r="D2154" t="inlineStr">
        <is>
          <t>ÖREBRO LÄN</t>
        </is>
      </c>
      <c r="E2154" t="inlineStr">
        <is>
          <t>ASKERSUND</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31247-2023</t>
        </is>
      </c>
      <c r="B2155" s="1" t="n">
        <v>45114</v>
      </c>
      <c r="C2155" s="1" t="n">
        <v>45952</v>
      </c>
      <c r="D2155" t="inlineStr">
        <is>
          <t>ÖREBRO LÄN</t>
        </is>
      </c>
      <c r="E2155" t="inlineStr">
        <is>
          <t>ÖREBRO</t>
        </is>
      </c>
      <c r="F2155" t="inlineStr">
        <is>
          <t>Allmännings- och besparingsskogar</t>
        </is>
      </c>
      <c r="G2155" t="n">
        <v>8.199999999999999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16132-2023</t>
        </is>
      </c>
      <c r="B2156" s="1" t="n">
        <v>45027</v>
      </c>
      <c r="C2156" s="1" t="n">
        <v>45952</v>
      </c>
      <c r="D2156" t="inlineStr">
        <is>
          <t>ÖREBRO LÄN</t>
        </is>
      </c>
      <c r="E2156" t="inlineStr">
        <is>
          <t>KUMLA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16165-2023</t>
        </is>
      </c>
      <c r="B2157" s="1" t="n">
        <v>45027</v>
      </c>
      <c r="C2157" s="1" t="n">
        <v>45952</v>
      </c>
      <c r="D2157" t="inlineStr">
        <is>
          <t>ÖREBRO LÄN</t>
        </is>
      </c>
      <c r="E2157" t="inlineStr">
        <is>
          <t>ÖREBRO</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2413-2024</t>
        </is>
      </c>
      <c r="B2158" s="1" t="n">
        <v>45310</v>
      </c>
      <c r="C2158" s="1" t="n">
        <v>45952</v>
      </c>
      <c r="D2158" t="inlineStr">
        <is>
          <t>ÖREBRO LÄN</t>
        </is>
      </c>
      <c r="E2158" t="inlineStr">
        <is>
          <t>NORA</t>
        </is>
      </c>
      <c r="G2158" t="n">
        <v>4.6</v>
      </c>
      <c r="H2158" t="n">
        <v>0</v>
      </c>
      <c r="I2158" t="n">
        <v>0</v>
      </c>
      <c r="J2158" t="n">
        <v>0</v>
      </c>
      <c r="K2158" t="n">
        <v>0</v>
      </c>
      <c r="L2158" t="n">
        <v>0</v>
      </c>
      <c r="M2158" t="n">
        <v>0</v>
      </c>
      <c r="N2158" t="n">
        <v>0</v>
      </c>
      <c r="O2158" t="n">
        <v>0</v>
      </c>
      <c r="P2158" t="n">
        <v>0</v>
      </c>
      <c r="Q2158" t="n">
        <v>0</v>
      </c>
      <c r="R2158" s="2" t="inlineStr"/>
    </row>
    <row r="2159" ht="15" customHeight="1">
      <c r="A2159" t="inlineStr">
        <is>
          <t>A 53031-2024</t>
        </is>
      </c>
      <c r="B2159" s="1" t="n">
        <v>45611</v>
      </c>
      <c r="C2159" s="1" t="n">
        <v>45952</v>
      </c>
      <c r="D2159" t="inlineStr">
        <is>
          <t>ÖREBRO LÄN</t>
        </is>
      </c>
      <c r="E2159" t="inlineStr">
        <is>
          <t>LJUSNARSBERG</t>
        </is>
      </c>
      <c r="F2159" t="inlineStr">
        <is>
          <t>Bergvik skog väst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45645-2022</t>
        </is>
      </c>
      <c r="B2160" s="1" t="n">
        <v>44845.65557870371</v>
      </c>
      <c r="C2160" s="1" t="n">
        <v>45952</v>
      </c>
      <c r="D2160" t="inlineStr">
        <is>
          <t>ÖREBRO LÄN</t>
        </is>
      </c>
      <c r="E2160" t="inlineStr">
        <is>
          <t>NORA</t>
        </is>
      </c>
      <c r="G2160" t="n">
        <v>1.7</v>
      </c>
      <c r="H2160" t="n">
        <v>0</v>
      </c>
      <c r="I2160" t="n">
        <v>0</v>
      </c>
      <c r="J2160" t="n">
        <v>0</v>
      </c>
      <c r="K2160" t="n">
        <v>0</v>
      </c>
      <c r="L2160" t="n">
        <v>0</v>
      </c>
      <c r="M2160" t="n">
        <v>0</v>
      </c>
      <c r="N2160" t="n">
        <v>0</v>
      </c>
      <c r="O2160" t="n">
        <v>0</v>
      </c>
      <c r="P2160" t="n">
        <v>0</v>
      </c>
      <c r="Q2160" t="n">
        <v>0</v>
      </c>
      <c r="R2160" s="2" t="inlineStr"/>
    </row>
    <row r="2161" ht="15" customHeight="1">
      <c r="A2161" t="inlineStr">
        <is>
          <t>A 10654-2023</t>
        </is>
      </c>
      <c r="B2161" s="1" t="n">
        <v>44984</v>
      </c>
      <c r="C2161" s="1" t="n">
        <v>45952</v>
      </c>
      <c r="D2161" t="inlineStr">
        <is>
          <t>ÖREBRO LÄN</t>
        </is>
      </c>
      <c r="E2161" t="inlineStr">
        <is>
          <t>LINDESBERG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14008-2024</t>
        </is>
      </c>
      <c r="B2162" s="1" t="n">
        <v>45392.47633101852</v>
      </c>
      <c r="C2162" s="1" t="n">
        <v>45952</v>
      </c>
      <c r="D2162" t="inlineStr">
        <is>
          <t>ÖREBRO LÄN</t>
        </is>
      </c>
      <c r="E2162" t="inlineStr">
        <is>
          <t>LAXÅ</t>
        </is>
      </c>
      <c r="F2162" t="inlineStr">
        <is>
          <t>Sveaskog</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63125-2023</t>
        </is>
      </c>
      <c r="B2163" s="1" t="n">
        <v>45273</v>
      </c>
      <c r="C2163" s="1" t="n">
        <v>45952</v>
      </c>
      <c r="D2163" t="inlineStr">
        <is>
          <t>ÖREBRO LÄN</t>
        </is>
      </c>
      <c r="E2163" t="inlineStr">
        <is>
          <t>LINDESBERG</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45365-2023</t>
        </is>
      </c>
      <c r="B2164" s="1" t="n">
        <v>45192.69640046296</v>
      </c>
      <c r="C2164" s="1" t="n">
        <v>45952</v>
      </c>
      <c r="D2164" t="inlineStr">
        <is>
          <t>ÖREBRO LÄN</t>
        </is>
      </c>
      <c r="E2164" t="inlineStr">
        <is>
          <t>DEGERFORS</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6387-2024</t>
        </is>
      </c>
      <c r="B2165" s="1" t="n">
        <v>45338.56366898148</v>
      </c>
      <c r="C2165" s="1" t="n">
        <v>45952</v>
      </c>
      <c r="D2165" t="inlineStr">
        <is>
          <t>ÖREBRO LÄN</t>
        </is>
      </c>
      <c r="E2165" t="inlineStr">
        <is>
          <t>DEGERFORS</t>
        </is>
      </c>
      <c r="F2165" t="inlineStr">
        <is>
          <t>Sveaskog</t>
        </is>
      </c>
      <c r="G2165" t="n">
        <v>1.8</v>
      </c>
      <c r="H2165" t="n">
        <v>0</v>
      </c>
      <c r="I2165" t="n">
        <v>0</v>
      </c>
      <c r="J2165" t="n">
        <v>0</v>
      </c>
      <c r="K2165" t="n">
        <v>0</v>
      </c>
      <c r="L2165" t="n">
        <v>0</v>
      </c>
      <c r="M2165" t="n">
        <v>0</v>
      </c>
      <c r="N2165" t="n">
        <v>0</v>
      </c>
      <c r="O2165" t="n">
        <v>0</v>
      </c>
      <c r="P2165" t="n">
        <v>0</v>
      </c>
      <c r="Q2165" t="n">
        <v>0</v>
      </c>
      <c r="R2165" s="2" t="inlineStr"/>
    </row>
    <row r="2166" ht="15" customHeight="1">
      <c r="A2166" t="inlineStr">
        <is>
          <t>A 36591-2021</t>
        </is>
      </c>
      <c r="B2166" s="1" t="n">
        <v>44391</v>
      </c>
      <c r="C2166" s="1" t="n">
        <v>45952</v>
      </c>
      <c r="D2166" t="inlineStr">
        <is>
          <t>ÖREBRO LÄN</t>
        </is>
      </c>
      <c r="E2166" t="inlineStr">
        <is>
          <t>HALLSBERG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11467-2024</t>
        </is>
      </c>
      <c r="B2167" s="1" t="n">
        <v>45372.59753472222</v>
      </c>
      <c r="C2167" s="1" t="n">
        <v>45952</v>
      </c>
      <c r="D2167" t="inlineStr">
        <is>
          <t>ÖREBRO LÄN</t>
        </is>
      </c>
      <c r="E2167" t="inlineStr">
        <is>
          <t>HÄLLEFORS</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39130-2023</t>
        </is>
      </c>
      <c r="B2168" s="1" t="n">
        <v>45165</v>
      </c>
      <c r="C2168" s="1" t="n">
        <v>45952</v>
      </c>
      <c r="D2168" t="inlineStr">
        <is>
          <t>ÖREBRO LÄN</t>
        </is>
      </c>
      <c r="E2168" t="inlineStr">
        <is>
          <t>ÖREBRO</t>
        </is>
      </c>
      <c r="G2168" t="n">
        <v>8.699999999999999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50398-2022</t>
        </is>
      </c>
      <c r="B2169" s="1" t="n">
        <v>44861</v>
      </c>
      <c r="C2169" s="1" t="n">
        <v>45952</v>
      </c>
      <c r="D2169" t="inlineStr">
        <is>
          <t>ÖREBRO LÄN</t>
        </is>
      </c>
      <c r="E2169" t="inlineStr">
        <is>
          <t>ÖREBRO</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9966-2023</t>
        </is>
      </c>
      <c r="B2170" s="1" t="n">
        <v>44979</v>
      </c>
      <c r="C2170" s="1" t="n">
        <v>45952</v>
      </c>
      <c r="D2170" t="inlineStr">
        <is>
          <t>ÖREBRO LÄN</t>
        </is>
      </c>
      <c r="E2170" t="inlineStr">
        <is>
          <t>LINDESBERG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17661-2025</t>
        </is>
      </c>
      <c r="B2171" s="1" t="n">
        <v>45758.35846064815</v>
      </c>
      <c r="C2171" s="1" t="n">
        <v>45952</v>
      </c>
      <c r="D2171" t="inlineStr">
        <is>
          <t>ÖREBRO LÄN</t>
        </is>
      </c>
      <c r="E2171" t="inlineStr">
        <is>
          <t>HÄLLEFORS</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24820-2024</t>
        </is>
      </c>
      <c r="B2172" s="1" t="n">
        <v>45461.3465625</v>
      </c>
      <c r="C2172" s="1" t="n">
        <v>45952</v>
      </c>
      <c r="D2172" t="inlineStr">
        <is>
          <t>ÖREBRO LÄN</t>
        </is>
      </c>
      <c r="E2172" t="inlineStr">
        <is>
          <t>NORA</t>
        </is>
      </c>
      <c r="G2172" t="n">
        <v>5.6</v>
      </c>
      <c r="H2172" t="n">
        <v>0</v>
      </c>
      <c r="I2172" t="n">
        <v>0</v>
      </c>
      <c r="J2172" t="n">
        <v>0</v>
      </c>
      <c r="K2172" t="n">
        <v>0</v>
      </c>
      <c r="L2172" t="n">
        <v>0</v>
      </c>
      <c r="M2172" t="n">
        <v>0</v>
      </c>
      <c r="N2172" t="n">
        <v>0</v>
      </c>
      <c r="O2172" t="n">
        <v>0</v>
      </c>
      <c r="P2172" t="n">
        <v>0</v>
      </c>
      <c r="Q2172" t="n">
        <v>0</v>
      </c>
      <c r="R2172" s="2" t="inlineStr"/>
    </row>
    <row r="2173" ht="15" customHeight="1">
      <c r="A2173" t="inlineStr">
        <is>
          <t>A 60028-2024</t>
        </is>
      </c>
      <c r="B2173" s="1" t="n">
        <v>45642</v>
      </c>
      <c r="C2173" s="1" t="n">
        <v>45952</v>
      </c>
      <c r="D2173" t="inlineStr">
        <is>
          <t>ÖREBRO LÄN</t>
        </is>
      </c>
      <c r="E2173" t="inlineStr">
        <is>
          <t>ÖREBRO</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37432-2022</t>
        </is>
      </c>
      <c r="B2174" s="1" t="n">
        <v>44809</v>
      </c>
      <c r="C2174" s="1" t="n">
        <v>45952</v>
      </c>
      <c r="D2174" t="inlineStr">
        <is>
          <t>ÖREBRO LÄN</t>
        </is>
      </c>
      <c r="E2174" t="inlineStr">
        <is>
          <t>LINDESBERG</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56967-2023</t>
        </is>
      </c>
      <c r="B2175" s="1" t="n">
        <v>45244</v>
      </c>
      <c r="C2175" s="1" t="n">
        <v>45952</v>
      </c>
      <c r="D2175" t="inlineStr">
        <is>
          <t>ÖREBRO LÄN</t>
        </is>
      </c>
      <c r="E2175" t="inlineStr">
        <is>
          <t>ASKERSUND</t>
        </is>
      </c>
      <c r="F2175" t="inlineStr">
        <is>
          <t>Sveaskog</t>
        </is>
      </c>
      <c r="G2175" t="n">
        <v>3.4</v>
      </c>
      <c r="H2175" t="n">
        <v>0</v>
      </c>
      <c r="I2175" t="n">
        <v>0</v>
      </c>
      <c r="J2175" t="n">
        <v>0</v>
      </c>
      <c r="K2175" t="n">
        <v>0</v>
      </c>
      <c r="L2175" t="n">
        <v>0</v>
      </c>
      <c r="M2175" t="n">
        <v>0</v>
      </c>
      <c r="N2175" t="n">
        <v>0</v>
      </c>
      <c r="O2175" t="n">
        <v>0</v>
      </c>
      <c r="P2175" t="n">
        <v>0</v>
      </c>
      <c r="Q2175" t="n">
        <v>0</v>
      </c>
      <c r="R2175" s="2" t="inlineStr"/>
    </row>
    <row r="2176" ht="15" customHeight="1">
      <c r="A2176" t="inlineStr">
        <is>
          <t>A 57645-2023</t>
        </is>
      </c>
      <c r="B2176" s="1" t="n">
        <v>45246</v>
      </c>
      <c r="C2176" s="1" t="n">
        <v>45952</v>
      </c>
      <c r="D2176" t="inlineStr">
        <is>
          <t>ÖREBRO LÄN</t>
        </is>
      </c>
      <c r="E2176" t="inlineStr">
        <is>
          <t>ASKERSUND</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9379-2024</t>
        </is>
      </c>
      <c r="B2177" s="1" t="n">
        <v>45359.37298611111</v>
      </c>
      <c r="C2177" s="1" t="n">
        <v>45952</v>
      </c>
      <c r="D2177" t="inlineStr">
        <is>
          <t>ÖREBRO LÄN</t>
        </is>
      </c>
      <c r="E2177" t="inlineStr">
        <is>
          <t>ÖREBRO</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40497-2024</t>
        </is>
      </c>
      <c r="B2178" s="1" t="n">
        <v>45555.57101851852</v>
      </c>
      <c r="C2178" s="1" t="n">
        <v>45952</v>
      </c>
      <c r="D2178" t="inlineStr">
        <is>
          <t>ÖREBRO LÄN</t>
        </is>
      </c>
      <c r="E2178" t="inlineStr">
        <is>
          <t>NORA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27835-2025</t>
        </is>
      </c>
      <c r="B2179" s="1" t="n">
        <v>45817.37068287037</v>
      </c>
      <c r="C2179" s="1" t="n">
        <v>45952</v>
      </c>
      <c r="D2179" t="inlineStr">
        <is>
          <t>ÖREBRO LÄN</t>
        </is>
      </c>
      <c r="E2179" t="inlineStr">
        <is>
          <t>ASKERSUND</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12-2025</t>
        </is>
      </c>
      <c r="B2180" s="1" t="n">
        <v>45658.69398148148</v>
      </c>
      <c r="C2180" s="1" t="n">
        <v>45952</v>
      </c>
      <c r="D2180" t="inlineStr">
        <is>
          <t>ÖREBRO LÄN</t>
        </is>
      </c>
      <c r="E2180" t="inlineStr">
        <is>
          <t>KUMLA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12596-2025</t>
        </is>
      </c>
      <c r="B2181" s="1" t="n">
        <v>45733.28476851852</v>
      </c>
      <c r="C2181" s="1" t="n">
        <v>45952</v>
      </c>
      <c r="D2181" t="inlineStr">
        <is>
          <t>ÖREBRO LÄN</t>
        </is>
      </c>
      <c r="E2181" t="inlineStr">
        <is>
          <t>LEKEBERG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21562-2024</t>
        </is>
      </c>
      <c r="B2182" s="1" t="n">
        <v>45441.65392361111</v>
      </c>
      <c r="C2182" s="1" t="n">
        <v>45952</v>
      </c>
      <c r="D2182" t="inlineStr">
        <is>
          <t>ÖREBRO LÄN</t>
        </is>
      </c>
      <c r="E2182" t="inlineStr">
        <is>
          <t>DEGERFORS</t>
        </is>
      </c>
      <c r="F2182" t="inlineStr">
        <is>
          <t>Sveaskog</t>
        </is>
      </c>
      <c r="G2182" t="n">
        <v>2.8</v>
      </c>
      <c r="H2182" t="n">
        <v>0</v>
      </c>
      <c r="I2182" t="n">
        <v>0</v>
      </c>
      <c r="J2182" t="n">
        <v>0</v>
      </c>
      <c r="K2182" t="n">
        <v>0</v>
      </c>
      <c r="L2182" t="n">
        <v>0</v>
      </c>
      <c r="M2182" t="n">
        <v>0</v>
      </c>
      <c r="N2182" t="n">
        <v>0</v>
      </c>
      <c r="O2182" t="n">
        <v>0</v>
      </c>
      <c r="P2182" t="n">
        <v>0</v>
      </c>
      <c r="Q2182" t="n">
        <v>0</v>
      </c>
      <c r="R2182" s="2" t="inlineStr"/>
    </row>
    <row r="2183" ht="15" customHeight="1">
      <c r="A2183" t="inlineStr">
        <is>
          <t>A 59957-2024</t>
        </is>
      </c>
      <c r="B2183" s="1" t="n">
        <v>45642.35061342592</v>
      </c>
      <c r="C2183" s="1" t="n">
        <v>45952</v>
      </c>
      <c r="D2183" t="inlineStr">
        <is>
          <t>ÖREBRO LÄN</t>
        </is>
      </c>
      <c r="E2183" t="inlineStr">
        <is>
          <t>HÄLLEFORS</t>
        </is>
      </c>
      <c r="F2183" t="inlineStr">
        <is>
          <t>Bergvik skog väst AB</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59959-2024</t>
        </is>
      </c>
      <c r="B2184" s="1" t="n">
        <v>45642.35097222222</v>
      </c>
      <c r="C2184" s="1" t="n">
        <v>45952</v>
      </c>
      <c r="D2184" t="inlineStr">
        <is>
          <t>ÖREBRO LÄN</t>
        </is>
      </c>
      <c r="E2184" t="inlineStr">
        <is>
          <t>HÄLLEFORS</t>
        </is>
      </c>
      <c r="F2184" t="inlineStr">
        <is>
          <t>Bergvik skog väst AB</t>
        </is>
      </c>
      <c r="G2184" t="n">
        <v>4.9</v>
      </c>
      <c r="H2184" t="n">
        <v>0</v>
      </c>
      <c r="I2184" t="n">
        <v>0</v>
      </c>
      <c r="J2184" t="n">
        <v>0</v>
      </c>
      <c r="K2184" t="n">
        <v>0</v>
      </c>
      <c r="L2184" t="n">
        <v>0</v>
      </c>
      <c r="M2184" t="n">
        <v>0</v>
      </c>
      <c r="N2184" t="n">
        <v>0</v>
      </c>
      <c r="O2184" t="n">
        <v>0</v>
      </c>
      <c r="P2184" t="n">
        <v>0</v>
      </c>
      <c r="Q2184" t="n">
        <v>0</v>
      </c>
      <c r="R2184" s="2" t="inlineStr"/>
    </row>
    <row r="2185" ht="15" customHeight="1">
      <c r="A2185" t="inlineStr">
        <is>
          <t>A 14454-2024</t>
        </is>
      </c>
      <c r="B2185" s="1" t="n">
        <v>45394.51289351852</v>
      </c>
      <c r="C2185" s="1" t="n">
        <v>45952</v>
      </c>
      <c r="D2185" t="inlineStr">
        <is>
          <t>ÖREBRO LÄN</t>
        </is>
      </c>
      <c r="E2185" t="inlineStr">
        <is>
          <t>LINDESBERG</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14460-2025</t>
        </is>
      </c>
      <c r="B2186" s="1" t="n">
        <v>45741.56847222222</v>
      </c>
      <c r="C2186" s="1" t="n">
        <v>45952</v>
      </c>
      <c r="D2186" t="inlineStr">
        <is>
          <t>ÖREBRO LÄN</t>
        </is>
      </c>
      <c r="E2186" t="inlineStr">
        <is>
          <t>LAXÅ</t>
        </is>
      </c>
      <c r="F2186" t="inlineStr">
        <is>
          <t>Sveaskog</t>
        </is>
      </c>
      <c r="G2186" t="n">
        <v>3.5</v>
      </c>
      <c r="H2186" t="n">
        <v>0</v>
      </c>
      <c r="I2186" t="n">
        <v>0</v>
      </c>
      <c r="J2186" t="n">
        <v>0</v>
      </c>
      <c r="K2186" t="n">
        <v>0</v>
      </c>
      <c r="L2186" t="n">
        <v>0</v>
      </c>
      <c r="M2186" t="n">
        <v>0</v>
      </c>
      <c r="N2186" t="n">
        <v>0</v>
      </c>
      <c r="O2186" t="n">
        <v>0</v>
      </c>
      <c r="P2186" t="n">
        <v>0</v>
      </c>
      <c r="Q2186" t="n">
        <v>0</v>
      </c>
      <c r="R2186" s="2" t="inlineStr"/>
    </row>
    <row r="2187" ht="15" customHeight="1">
      <c r="A2187" t="inlineStr">
        <is>
          <t>A 14462-2025</t>
        </is>
      </c>
      <c r="B2187" s="1" t="n">
        <v>45741.56908564815</v>
      </c>
      <c r="C2187" s="1" t="n">
        <v>45952</v>
      </c>
      <c r="D2187" t="inlineStr">
        <is>
          <t>ÖREBRO LÄN</t>
        </is>
      </c>
      <c r="E2187" t="inlineStr">
        <is>
          <t>LAXÅ</t>
        </is>
      </c>
      <c r="F2187" t="inlineStr">
        <is>
          <t>Sveaskog</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13501-2025</t>
        </is>
      </c>
      <c r="B2188" s="1" t="n">
        <v>45736.45362268519</v>
      </c>
      <c r="C2188" s="1" t="n">
        <v>45952</v>
      </c>
      <c r="D2188" t="inlineStr">
        <is>
          <t>ÖREBRO LÄN</t>
        </is>
      </c>
      <c r="E2188" t="inlineStr">
        <is>
          <t>KARLSKOGA</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46082-2024</t>
        </is>
      </c>
      <c r="B2189" s="1" t="n">
        <v>45581</v>
      </c>
      <c r="C2189" s="1" t="n">
        <v>45952</v>
      </c>
      <c r="D2189" t="inlineStr">
        <is>
          <t>ÖREBRO LÄN</t>
        </is>
      </c>
      <c r="E2189" t="inlineStr">
        <is>
          <t>LJUSNARSBERG</t>
        </is>
      </c>
      <c r="G2189" t="n">
        <v>1</v>
      </c>
      <c r="H2189" t="n">
        <v>0</v>
      </c>
      <c r="I2189" t="n">
        <v>0</v>
      </c>
      <c r="J2189" t="n">
        <v>0</v>
      </c>
      <c r="K2189" t="n">
        <v>0</v>
      </c>
      <c r="L2189" t="n">
        <v>0</v>
      </c>
      <c r="M2189" t="n">
        <v>0</v>
      </c>
      <c r="N2189" t="n">
        <v>0</v>
      </c>
      <c r="O2189" t="n">
        <v>0</v>
      </c>
      <c r="P2189" t="n">
        <v>0</v>
      </c>
      <c r="Q2189" t="n">
        <v>0</v>
      </c>
      <c r="R2189" s="2" t="inlineStr"/>
    </row>
    <row r="2190" ht="15" customHeight="1">
      <c r="A2190" t="inlineStr">
        <is>
          <t>A 46147-2024</t>
        </is>
      </c>
      <c r="B2190" s="1" t="n">
        <v>45581.45158564814</v>
      </c>
      <c r="C2190" s="1" t="n">
        <v>45952</v>
      </c>
      <c r="D2190" t="inlineStr">
        <is>
          <t>ÖREBRO LÄN</t>
        </is>
      </c>
      <c r="E2190" t="inlineStr">
        <is>
          <t>DEGERFORS</t>
        </is>
      </c>
      <c r="F2190" t="inlineStr">
        <is>
          <t>Sveaskog</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12108-2024</t>
        </is>
      </c>
      <c r="B2191" s="1" t="n">
        <v>45376</v>
      </c>
      <c r="C2191" s="1" t="n">
        <v>45952</v>
      </c>
      <c r="D2191" t="inlineStr">
        <is>
          <t>ÖREBRO LÄN</t>
        </is>
      </c>
      <c r="E2191" t="inlineStr">
        <is>
          <t>DEGERFORS</t>
        </is>
      </c>
      <c r="G2191" t="n">
        <v>7.7</v>
      </c>
      <c r="H2191" t="n">
        <v>0</v>
      </c>
      <c r="I2191" t="n">
        <v>0</v>
      </c>
      <c r="J2191" t="n">
        <v>0</v>
      </c>
      <c r="K2191" t="n">
        <v>0</v>
      </c>
      <c r="L2191" t="n">
        <v>0</v>
      </c>
      <c r="M2191" t="n">
        <v>0</v>
      </c>
      <c r="N2191" t="n">
        <v>0</v>
      </c>
      <c r="O2191" t="n">
        <v>0</v>
      </c>
      <c r="P2191" t="n">
        <v>0</v>
      </c>
      <c r="Q2191" t="n">
        <v>0</v>
      </c>
      <c r="R2191" s="2" t="inlineStr"/>
    </row>
    <row r="2192" ht="15" customHeight="1">
      <c r="A2192" t="inlineStr">
        <is>
          <t>A 289-2022</t>
        </is>
      </c>
      <c r="B2192" s="1" t="n">
        <v>44564</v>
      </c>
      <c r="C2192" s="1" t="n">
        <v>45952</v>
      </c>
      <c r="D2192" t="inlineStr">
        <is>
          <t>ÖREBRO LÄN</t>
        </is>
      </c>
      <c r="E2192" t="inlineStr">
        <is>
          <t>LJUSNARSBERG</t>
        </is>
      </c>
      <c r="F2192" t="inlineStr">
        <is>
          <t>Bergvik skog väst AB</t>
        </is>
      </c>
      <c r="G2192" t="n">
        <v>6.8</v>
      </c>
      <c r="H2192" t="n">
        <v>0</v>
      </c>
      <c r="I2192" t="n">
        <v>0</v>
      </c>
      <c r="J2192" t="n">
        <v>0</v>
      </c>
      <c r="K2192" t="n">
        <v>0</v>
      </c>
      <c r="L2192" t="n">
        <v>0</v>
      </c>
      <c r="M2192" t="n">
        <v>0</v>
      </c>
      <c r="N2192" t="n">
        <v>0</v>
      </c>
      <c r="O2192" t="n">
        <v>0</v>
      </c>
      <c r="P2192" t="n">
        <v>0</v>
      </c>
      <c r="Q2192" t="n">
        <v>0</v>
      </c>
      <c r="R2192" s="2" t="inlineStr"/>
    </row>
    <row r="2193" ht="15" customHeight="1">
      <c r="A2193" t="inlineStr">
        <is>
          <t>A 30754-2022</t>
        </is>
      </c>
      <c r="B2193" s="1" t="n">
        <v>44764</v>
      </c>
      <c r="C2193" s="1" t="n">
        <v>45952</v>
      </c>
      <c r="D2193" t="inlineStr">
        <is>
          <t>ÖREBRO LÄN</t>
        </is>
      </c>
      <c r="E2193" t="inlineStr">
        <is>
          <t>LEKEBERG</t>
        </is>
      </c>
      <c r="G2193" t="n">
        <v>9.300000000000001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45537-2024</t>
        </is>
      </c>
      <c r="B2194" s="1" t="n">
        <v>45578</v>
      </c>
      <c r="C2194" s="1" t="n">
        <v>45952</v>
      </c>
      <c r="D2194" t="inlineStr">
        <is>
          <t>ÖREBRO LÄN</t>
        </is>
      </c>
      <c r="E2194" t="inlineStr">
        <is>
          <t>LJUSNARSBERG</t>
        </is>
      </c>
      <c r="F2194" t="inlineStr">
        <is>
          <t>Bergvik skog väst AB</t>
        </is>
      </c>
      <c r="G2194" t="n">
        <v>4.3</v>
      </c>
      <c r="H2194" t="n">
        <v>0</v>
      </c>
      <c r="I2194" t="n">
        <v>0</v>
      </c>
      <c r="J2194" t="n">
        <v>0</v>
      </c>
      <c r="K2194" t="n">
        <v>0</v>
      </c>
      <c r="L2194" t="n">
        <v>0</v>
      </c>
      <c r="M2194" t="n">
        <v>0</v>
      </c>
      <c r="N2194" t="n">
        <v>0</v>
      </c>
      <c r="O2194" t="n">
        <v>0</v>
      </c>
      <c r="P2194" t="n">
        <v>0</v>
      </c>
      <c r="Q2194" t="n">
        <v>0</v>
      </c>
      <c r="R2194" s="2" t="inlineStr"/>
    </row>
    <row r="2195" ht="15" customHeight="1">
      <c r="A2195" t="inlineStr">
        <is>
          <t>A 34722-2024</t>
        </is>
      </c>
      <c r="B2195" s="1" t="n">
        <v>45526</v>
      </c>
      <c r="C2195" s="1" t="n">
        <v>45952</v>
      </c>
      <c r="D2195" t="inlineStr">
        <is>
          <t>ÖREBRO LÄN</t>
        </is>
      </c>
      <c r="E2195" t="inlineStr">
        <is>
          <t>NORA</t>
        </is>
      </c>
      <c r="F2195" t="inlineStr">
        <is>
          <t>Övriga Aktiebolag</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18893-2024</t>
        </is>
      </c>
      <c r="B2196" s="1" t="n">
        <v>45427.33241898148</v>
      </c>
      <c r="C2196" s="1" t="n">
        <v>45952</v>
      </c>
      <c r="D2196" t="inlineStr">
        <is>
          <t>ÖREBRO LÄN</t>
        </is>
      </c>
      <c r="E2196" t="inlineStr">
        <is>
          <t>HALLSBERG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22624-2021</t>
        </is>
      </c>
      <c r="B2197" s="1" t="n">
        <v>44327</v>
      </c>
      <c r="C2197" s="1" t="n">
        <v>45952</v>
      </c>
      <c r="D2197" t="inlineStr">
        <is>
          <t>ÖREBRO LÄN</t>
        </is>
      </c>
      <c r="E2197" t="inlineStr">
        <is>
          <t>KARLSKOGA</t>
        </is>
      </c>
      <c r="F2197" t="inlineStr">
        <is>
          <t>Kyrkan</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22677-2022</t>
        </is>
      </c>
      <c r="B2198" s="1" t="n">
        <v>44714</v>
      </c>
      <c r="C2198" s="1" t="n">
        <v>45952</v>
      </c>
      <c r="D2198" t="inlineStr">
        <is>
          <t>ÖREBRO LÄN</t>
        </is>
      </c>
      <c r="E2198" t="inlineStr">
        <is>
          <t>ÖREBRO</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38874-2025</t>
        </is>
      </c>
      <c r="B2199" s="1" t="n">
        <v>45887</v>
      </c>
      <c r="C2199" s="1" t="n">
        <v>45952</v>
      </c>
      <c r="D2199" t="inlineStr">
        <is>
          <t>ÖREBRO LÄN</t>
        </is>
      </c>
      <c r="E2199" t="inlineStr">
        <is>
          <t>DEGERFORS</t>
        </is>
      </c>
      <c r="F2199" t="inlineStr">
        <is>
          <t>Sveaskog</t>
        </is>
      </c>
      <c r="G2199" t="n">
        <v>8.300000000000001</v>
      </c>
      <c r="H2199" t="n">
        <v>0</v>
      </c>
      <c r="I2199" t="n">
        <v>0</v>
      </c>
      <c r="J2199" t="n">
        <v>0</v>
      </c>
      <c r="K2199" t="n">
        <v>0</v>
      </c>
      <c r="L2199" t="n">
        <v>0</v>
      </c>
      <c r="M2199" t="n">
        <v>0</v>
      </c>
      <c r="N2199" t="n">
        <v>0</v>
      </c>
      <c r="O2199" t="n">
        <v>0</v>
      </c>
      <c r="P2199" t="n">
        <v>0</v>
      </c>
      <c r="Q2199" t="n">
        <v>0</v>
      </c>
      <c r="R2199" s="2" t="inlineStr"/>
    </row>
    <row r="2200" ht="15" customHeight="1">
      <c r="A2200" t="inlineStr">
        <is>
          <t>A 16480-2025</t>
        </is>
      </c>
      <c r="B2200" s="1" t="n">
        <v>45751.57702546296</v>
      </c>
      <c r="C2200" s="1" t="n">
        <v>45952</v>
      </c>
      <c r="D2200" t="inlineStr">
        <is>
          <t>ÖREBRO LÄN</t>
        </is>
      </c>
      <c r="E2200" t="inlineStr">
        <is>
          <t>DEGERFORS</t>
        </is>
      </c>
      <c r="G2200" t="n">
        <v>5.2</v>
      </c>
      <c r="H2200" t="n">
        <v>0</v>
      </c>
      <c r="I2200" t="n">
        <v>0</v>
      </c>
      <c r="J2200" t="n">
        <v>0</v>
      </c>
      <c r="K2200" t="n">
        <v>0</v>
      </c>
      <c r="L2200" t="n">
        <v>0</v>
      </c>
      <c r="M2200" t="n">
        <v>0</v>
      </c>
      <c r="N2200" t="n">
        <v>0</v>
      </c>
      <c r="O2200" t="n">
        <v>0</v>
      </c>
      <c r="P2200" t="n">
        <v>0</v>
      </c>
      <c r="Q2200" t="n">
        <v>0</v>
      </c>
      <c r="R2200" s="2" t="inlineStr"/>
    </row>
    <row r="2201" ht="15" customHeight="1">
      <c r="A2201" t="inlineStr">
        <is>
          <t>A 13169-2024</t>
        </is>
      </c>
      <c r="B2201" s="1" t="n">
        <v>45386.40489583334</v>
      </c>
      <c r="C2201" s="1" t="n">
        <v>45952</v>
      </c>
      <c r="D2201" t="inlineStr">
        <is>
          <t>ÖREBRO LÄN</t>
        </is>
      </c>
      <c r="E2201" t="inlineStr">
        <is>
          <t>ÖREBRO</t>
        </is>
      </c>
      <c r="G2201" t="n">
        <v>4.3</v>
      </c>
      <c r="H2201" t="n">
        <v>0</v>
      </c>
      <c r="I2201" t="n">
        <v>0</v>
      </c>
      <c r="J2201" t="n">
        <v>0</v>
      </c>
      <c r="K2201" t="n">
        <v>0</v>
      </c>
      <c r="L2201" t="n">
        <v>0</v>
      </c>
      <c r="M2201" t="n">
        <v>0</v>
      </c>
      <c r="N2201" t="n">
        <v>0</v>
      </c>
      <c r="O2201" t="n">
        <v>0</v>
      </c>
      <c r="P2201" t="n">
        <v>0</v>
      </c>
      <c r="Q2201" t="n">
        <v>0</v>
      </c>
      <c r="R2201" s="2" t="inlineStr"/>
    </row>
    <row r="2202" ht="15" customHeight="1">
      <c r="A2202" t="inlineStr">
        <is>
          <t>A 41601-2023</t>
        </is>
      </c>
      <c r="B2202" s="1" t="n">
        <v>45175</v>
      </c>
      <c r="C2202" s="1" t="n">
        <v>45952</v>
      </c>
      <c r="D2202" t="inlineStr">
        <is>
          <t>ÖREBRO LÄN</t>
        </is>
      </c>
      <c r="E2202" t="inlineStr">
        <is>
          <t>LAXÅ</t>
        </is>
      </c>
      <c r="G2202" t="n">
        <v>2.4</v>
      </c>
      <c r="H2202" t="n">
        <v>0</v>
      </c>
      <c r="I2202" t="n">
        <v>0</v>
      </c>
      <c r="J2202" t="n">
        <v>0</v>
      </c>
      <c r="K2202" t="n">
        <v>0</v>
      </c>
      <c r="L2202" t="n">
        <v>0</v>
      </c>
      <c r="M2202" t="n">
        <v>0</v>
      </c>
      <c r="N2202" t="n">
        <v>0</v>
      </c>
      <c r="O2202" t="n">
        <v>0</v>
      </c>
      <c r="P2202" t="n">
        <v>0</v>
      </c>
      <c r="Q2202" t="n">
        <v>0</v>
      </c>
      <c r="R2202" s="2" t="inlineStr"/>
    </row>
    <row r="2203" ht="15" customHeight="1">
      <c r="A2203" t="inlineStr">
        <is>
          <t>A 61202-2023</t>
        </is>
      </c>
      <c r="B2203" s="1" t="n">
        <v>45264.38084490741</v>
      </c>
      <c r="C2203" s="1" t="n">
        <v>45952</v>
      </c>
      <c r="D2203" t="inlineStr">
        <is>
          <t>ÖREBRO LÄN</t>
        </is>
      </c>
      <c r="E2203" t="inlineStr">
        <is>
          <t>LINDESBERG</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15591-2025</t>
        </is>
      </c>
      <c r="B2204" s="1" t="n">
        <v>45747</v>
      </c>
      <c r="C2204" s="1" t="n">
        <v>45952</v>
      </c>
      <c r="D2204" t="inlineStr">
        <is>
          <t>ÖREBRO LÄN</t>
        </is>
      </c>
      <c r="E2204" t="inlineStr">
        <is>
          <t>HALLSBERG</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15615-2025</t>
        </is>
      </c>
      <c r="B2205" s="1" t="n">
        <v>45748</v>
      </c>
      <c r="C2205" s="1" t="n">
        <v>45952</v>
      </c>
      <c r="D2205" t="inlineStr">
        <is>
          <t>ÖREBRO LÄN</t>
        </is>
      </c>
      <c r="E2205" t="inlineStr">
        <is>
          <t>KUMLA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18831-2025</t>
        </is>
      </c>
      <c r="B2206" s="1" t="n">
        <v>45764.39109953704</v>
      </c>
      <c r="C2206" s="1" t="n">
        <v>45952</v>
      </c>
      <c r="D2206" t="inlineStr">
        <is>
          <t>ÖREBRO LÄN</t>
        </is>
      </c>
      <c r="E2206" t="inlineStr">
        <is>
          <t>DEGERFORS</t>
        </is>
      </c>
      <c r="F2206" t="inlineStr">
        <is>
          <t>Sveaskog</t>
        </is>
      </c>
      <c r="G2206" t="n">
        <v>4.2</v>
      </c>
      <c r="H2206" t="n">
        <v>0</v>
      </c>
      <c r="I2206" t="n">
        <v>0</v>
      </c>
      <c r="J2206" t="n">
        <v>0</v>
      </c>
      <c r="K2206" t="n">
        <v>0</v>
      </c>
      <c r="L2206" t="n">
        <v>0</v>
      </c>
      <c r="M2206" t="n">
        <v>0</v>
      </c>
      <c r="N2206" t="n">
        <v>0</v>
      </c>
      <c r="O2206" t="n">
        <v>0</v>
      </c>
      <c r="P2206" t="n">
        <v>0</v>
      </c>
      <c r="Q2206" t="n">
        <v>0</v>
      </c>
      <c r="R2206" s="2" t="inlineStr"/>
    </row>
    <row r="2207" ht="15" customHeight="1">
      <c r="A2207" t="inlineStr">
        <is>
          <t>A 23710-2022</t>
        </is>
      </c>
      <c r="B2207" s="1" t="n">
        <v>44722</v>
      </c>
      <c r="C2207" s="1" t="n">
        <v>45952</v>
      </c>
      <c r="D2207" t="inlineStr">
        <is>
          <t>ÖREBRO LÄN</t>
        </is>
      </c>
      <c r="E2207" t="inlineStr">
        <is>
          <t>ÖREBRO</t>
        </is>
      </c>
      <c r="F2207" t="inlineStr">
        <is>
          <t>Sveaskog</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4757-2024</t>
        </is>
      </c>
      <c r="B2208" s="1" t="n">
        <v>45328</v>
      </c>
      <c r="C2208" s="1" t="n">
        <v>45952</v>
      </c>
      <c r="D2208" t="inlineStr">
        <is>
          <t>ÖREBRO LÄN</t>
        </is>
      </c>
      <c r="E2208" t="inlineStr">
        <is>
          <t>ÖREBRO</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4771-2023</t>
        </is>
      </c>
      <c r="B2209" s="1" t="n">
        <v>44957</v>
      </c>
      <c r="C2209" s="1" t="n">
        <v>45952</v>
      </c>
      <c r="D2209" t="inlineStr">
        <is>
          <t>ÖREBRO LÄN</t>
        </is>
      </c>
      <c r="E2209" t="inlineStr">
        <is>
          <t>LAXÅ</t>
        </is>
      </c>
      <c r="F2209" t="inlineStr">
        <is>
          <t>Sveaskog</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4772-2023</t>
        </is>
      </c>
      <c r="B2210" s="1" t="n">
        <v>44957</v>
      </c>
      <c r="C2210" s="1" t="n">
        <v>45952</v>
      </c>
      <c r="D2210" t="inlineStr">
        <is>
          <t>ÖREBRO LÄN</t>
        </is>
      </c>
      <c r="E2210" t="inlineStr">
        <is>
          <t>LAXÅ</t>
        </is>
      </c>
      <c r="F2210" t="inlineStr">
        <is>
          <t>Sveaskog</t>
        </is>
      </c>
      <c r="G2210" t="n">
        <v>1.7</v>
      </c>
      <c r="H2210" t="n">
        <v>0</v>
      </c>
      <c r="I2210" t="n">
        <v>0</v>
      </c>
      <c r="J2210" t="n">
        <v>0</v>
      </c>
      <c r="K2210" t="n">
        <v>0</v>
      </c>
      <c r="L2210" t="n">
        <v>0</v>
      </c>
      <c r="M2210" t="n">
        <v>0</v>
      </c>
      <c r="N2210" t="n">
        <v>0</v>
      </c>
      <c r="O2210" t="n">
        <v>0</v>
      </c>
      <c r="P2210" t="n">
        <v>0</v>
      </c>
      <c r="Q2210" t="n">
        <v>0</v>
      </c>
      <c r="R2210" s="2" t="inlineStr"/>
    </row>
    <row r="2211" ht="15" customHeight="1">
      <c r="A2211" t="inlineStr">
        <is>
          <t>A 16441-2025</t>
        </is>
      </c>
      <c r="B2211" s="1" t="n">
        <v>45751.49979166667</v>
      </c>
      <c r="C2211" s="1" t="n">
        <v>45952</v>
      </c>
      <c r="D2211" t="inlineStr">
        <is>
          <t>ÖREBRO LÄN</t>
        </is>
      </c>
      <c r="E2211" t="inlineStr">
        <is>
          <t>HALLSBERG</t>
        </is>
      </c>
      <c r="F2211" t="inlineStr">
        <is>
          <t>Sveaskog</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38335-2024</t>
        </is>
      </c>
      <c r="B2212" s="1" t="n">
        <v>45545.68380787037</v>
      </c>
      <c r="C2212" s="1" t="n">
        <v>45952</v>
      </c>
      <c r="D2212" t="inlineStr">
        <is>
          <t>ÖREBRO LÄN</t>
        </is>
      </c>
      <c r="E2212" t="inlineStr">
        <is>
          <t>KUMLA</t>
        </is>
      </c>
      <c r="G2212" t="n">
        <v>0.2</v>
      </c>
      <c r="H2212" t="n">
        <v>0</v>
      </c>
      <c r="I2212" t="n">
        <v>0</v>
      </c>
      <c r="J2212" t="n">
        <v>0</v>
      </c>
      <c r="K2212" t="n">
        <v>0</v>
      </c>
      <c r="L2212" t="n">
        <v>0</v>
      </c>
      <c r="M2212" t="n">
        <v>0</v>
      </c>
      <c r="N2212" t="n">
        <v>0</v>
      </c>
      <c r="O2212" t="n">
        <v>0</v>
      </c>
      <c r="P2212" t="n">
        <v>0</v>
      </c>
      <c r="Q2212" t="n">
        <v>0</v>
      </c>
      <c r="R2212" s="2" t="inlineStr"/>
    </row>
    <row r="2213" ht="15" customHeight="1">
      <c r="A2213" t="inlineStr">
        <is>
          <t>A 58139-2021</t>
        </is>
      </c>
      <c r="B2213" s="1" t="n">
        <v>44487</v>
      </c>
      <c r="C2213" s="1" t="n">
        <v>45952</v>
      </c>
      <c r="D2213" t="inlineStr">
        <is>
          <t>ÖREBRO LÄN</t>
        </is>
      </c>
      <c r="E2213" t="inlineStr">
        <is>
          <t>ASKERSUND</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30903-2024</t>
        </is>
      </c>
      <c r="B2214" s="1" t="n">
        <v>45498.49946759259</v>
      </c>
      <c r="C2214" s="1" t="n">
        <v>45952</v>
      </c>
      <c r="D2214" t="inlineStr">
        <is>
          <t>ÖREBRO LÄN</t>
        </is>
      </c>
      <c r="E2214" t="inlineStr">
        <is>
          <t>ÖREBRO</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39707-2022</t>
        </is>
      </c>
      <c r="B2215" s="1" t="n">
        <v>44818.95277777778</v>
      </c>
      <c r="C2215" s="1" t="n">
        <v>45952</v>
      </c>
      <c r="D2215" t="inlineStr">
        <is>
          <t>ÖREBRO LÄN</t>
        </is>
      </c>
      <c r="E2215" t="inlineStr">
        <is>
          <t>NORA</t>
        </is>
      </c>
      <c r="F2215" t="inlineStr">
        <is>
          <t>Sveaskog</t>
        </is>
      </c>
      <c r="G2215" t="n">
        <v>6.6</v>
      </c>
      <c r="H2215" t="n">
        <v>0</v>
      </c>
      <c r="I2215" t="n">
        <v>0</v>
      </c>
      <c r="J2215" t="n">
        <v>0</v>
      </c>
      <c r="K2215" t="n">
        <v>0</v>
      </c>
      <c r="L2215" t="n">
        <v>0</v>
      </c>
      <c r="M2215" t="n">
        <v>0</v>
      </c>
      <c r="N2215" t="n">
        <v>0</v>
      </c>
      <c r="O2215" t="n">
        <v>0</v>
      </c>
      <c r="P2215" t="n">
        <v>0</v>
      </c>
      <c r="Q2215" t="n">
        <v>0</v>
      </c>
      <c r="R2215" s="2" t="inlineStr"/>
    </row>
    <row r="2216" ht="15" customHeight="1">
      <c r="A2216" t="inlineStr">
        <is>
          <t>A 1345-2024</t>
        </is>
      </c>
      <c r="B2216" s="1" t="n">
        <v>45303</v>
      </c>
      <c r="C2216" s="1" t="n">
        <v>45952</v>
      </c>
      <c r="D2216" t="inlineStr">
        <is>
          <t>ÖREBRO LÄN</t>
        </is>
      </c>
      <c r="E2216" t="inlineStr">
        <is>
          <t>ASKERSUND</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10404-2022</t>
        </is>
      </c>
      <c r="B2217" s="1" t="n">
        <v>44623.45096064815</v>
      </c>
      <c r="C2217" s="1" t="n">
        <v>45952</v>
      </c>
      <c r="D2217" t="inlineStr">
        <is>
          <t>ÖREBRO LÄN</t>
        </is>
      </c>
      <c r="E2217" t="inlineStr">
        <is>
          <t>KARLSKOGA</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6794-2025</t>
        </is>
      </c>
      <c r="B2218" s="1" t="n">
        <v>45700.66429398148</v>
      </c>
      <c r="C2218" s="1" t="n">
        <v>45952</v>
      </c>
      <c r="D2218" t="inlineStr">
        <is>
          <t>ÖREBRO LÄN</t>
        </is>
      </c>
      <c r="E2218" t="inlineStr">
        <is>
          <t>ÖREBRO</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46801-2024</t>
        </is>
      </c>
      <c r="B2219" s="1" t="n">
        <v>45583</v>
      </c>
      <c r="C2219" s="1" t="n">
        <v>45952</v>
      </c>
      <c r="D2219" t="inlineStr">
        <is>
          <t>ÖREBRO LÄN</t>
        </is>
      </c>
      <c r="E2219" t="inlineStr">
        <is>
          <t>LJUSNARSBERG</t>
        </is>
      </c>
      <c r="F2219" t="inlineStr">
        <is>
          <t>Bergvik skog väst AB</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12732-2022</t>
        </is>
      </c>
      <c r="B2220" s="1" t="n">
        <v>44641</v>
      </c>
      <c r="C2220" s="1" t="n">
        <v>45952</v>
      </c>
      <c r="D2220" t="inlineStr">
        <is>
          <t>ÖREBRO LÄN</t>
        </is>
      </c>
      <c r="E2220" t="inlineStr">
        <is>
          <t>ASKERSUND</t>
        </is>
      </c>
      <c r="F2220" t="inlineStr">
        <is>
          <t>Sveaskog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46809-2024</t>
        </is>
      </c>
      <c r="B2221" s="1" t="n">
        <v>45583</v>
      </c>
      <c r="C2221" s="1" t="n">
        <v>45952</v>
      </c>
      <c r="D2221" t="inlineStr">
        <is>
          <t>ÖREBRO LÄN</t>
        </is>
      </c>
      <c r="E2221" t="inlineStr">
        <is>
          <t>LJUSNARSBERG</t>
        </is>
      </c>
      <c r="F2221" t="inlineStr">
        <is>
          <t>Bergvik skog väst AB</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54093-2023</t>
        </is>
      </c>
      <c r="B2222" s="1" t="n">
        <v>45225</v>
      </c>
      <c r="C2222" s="1" t="n">
        <v>45952</v>
      </c>
      <c r="D2222" t="inlineStr">
        <is>
          <t>ÖREBRO LÄN</t>
        </is>
      </c>
      <c r="E2222" t="inlineStr">
        <is>
          <t>LAXÅ</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27767-2023</t>
        </is>
      </c>
      <c r="B2223" s="1" t="n">
        <v>45098.41659722223</v>
      </c>
      <c r="C2223" s="1" t="n">
        <v>45952</v>
      </c>
      <c r="D2223" t="inlineStr">
        <is>
          <t>ÖREBRO LÄN</t>
        </is>
      </c>
      <c r="E2223" t="inlineStr">
        <is>
          <t>NORA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60941-2024</t>
        </is>
      </c>
      <c r="B2224" s="1" t="n">
        <v>45645.3712037037</v>
      </c>
      <c r="C2224" s="1" t="n">
        <v>45952</v>
      </c>
      <c r="D2224" t="inlineStr">
        <is>
          <t>ÖREBRO LÄN</t>
        </is>
      </c>
      <c r="E2224" t="inlineStr">
        <is>
          <t>LINDESBERG</t>
        </is>
      </c>
      <c r="F2224" t="inlineStr">
        <is>
          <t>Sveaskog</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6752-2021</t>
        </is>
      </c>
      <c r="B2225" s="1" t="n">
        <v>44236</v>
      </c>
      <c r="C2225" s="1" t="n">
        <v>45952</v>
      </c>
      <c r="D2225" t="inlineStr">
        <is>
          <t>ÖREBRO LÄN</t>
        </is>
      </c>
      <c r="E2225" t="inlineStr">
        <is>
          <t>LINDESBERG</t>
        </is>
      </c>
      <c r="G2225" t="n">
        <v>2.6</v>
      </c>
      <c r="H2225" t="n">
        <v>0</v>
      </c>
      <c r="I2225" t="n">
        <v>0</v>
      </c>
      <c r="J2225" t="n">
        <v>0</v>
      </c>
      <c r="K2225" t="n">
        <v>0</v>
      </c>
      <c r="L2225" t="n">
        <v>0</v>
      </c>
      <c r="M2225" t="n">
        <v>0</v>
      </c>
      <c r="N2225" t="n">
        <v>0</v>
      </c>
      <c r="O2225" t="n">
        <v>0</v>
      </c>
      <c r="P2225" t="n">
        <v>0</v>
      </c>
      <c r="Q2225" t="n">
        <v>0</v>
      </c>
      <c r="R2225" s="2" t="inlineStr"/>
      <c r="U2225">
        <f>HYPERLINK("https://klasma.github.io/Logging_1885/knärot/A 6752-2021 karta knärot.png", "A 6752-2021")</f>
        <v/>
      </c>
      <c r="V2225">
        <f>HYPERLINK("https://klasma.github.io/Logging_1885/klagomål/A 6752-2021 FSC-klagomål.docx", "A 6752-2021")</f>
        <v/>
      </c>
      <c r="W2225">
        <f>HYPERLINK("https://klasma.github.io/Logging_1885/klagomålsmail/A 6752-2021 FSC-klagomål mail.docx", "A 6752-2021")</f>
        <v/>
      </c>
      <c r="X2225">
        <f>HYPERLINK("https://klasma.github.io/Logging_1885/tillsyn/A 6752-2021 tillsynsbegäran.docx", "A 6752-2021")</f>
        <v/>
      </c>
      <c r="Y2225">
        <f>HYPERLINK("https://klasma.github.io/Logging_1885/tillsynsmail/A 6752-2021 tillsynsbegäran mail.docx", "A 6752-2021")</f>
        <v/>
      </c>
    </row>
    <row r="2226" ht="15" customHeight="1">
      <c r="A2226" t="inlineStr">
        <is>
          <t>A 35930-2023</t>
        </is>
      </c>
      <c r="B2226" s="1" t="n">
        <v>45148</v>
      </c>
      <c r="C2226" s="1" t="n">
        <v>45952</v>
      </c>
      <c r="D2226" t="inlineStr">
        <is>
          <t>ÖREBRO LÄN</t>
        </is>
      </c>
      <c r="E2226" t="inlineStr">
        <is>
          <t>KARLSKOGA</t>
        </is>
      </c>
      <c r="F2226" t="inlineStr">
        <is>
          <t>Sveaskog</t>
        </is>
      </c>
      <c r="G2226" t="n">
        <v>5.2</v>
      </c>
      <c r="H2226" t="n">
        <v>0</v>
      </c>
      <c r="I2226" t="n">
        <v>0</v>
      </c>
      <c r="J2226" t="n">
        <v>0</v>
      </c>
      <c r="K2226" t="n">
        <v>0</v>
      </c>
      <c r="L2226" t="n">
        <v>0</v>
      </c>
      <c r="M2226" t="n">
        <v>0</v>
      </c>
      <c r="N2226" t="n">
        <v>0</v>
      </c>
      <c r="O2226" t="n">
        <v>0</v>
      </c>
      <c r="P2226" t="n">
        <v>0</v>
      </c>
      <c r="Q2226" t="n">
        <v>0</v>
      </c>
      <c r="R2226" s="2" t="inlineStr"/>
    </row>
    <row r="2227" ht="15" customHeight="1">
      <c r="A2227" t="inlineStr">
        <is>
          <t>A 62405-2021</t>
        </is>
      </c>
      <c r="B2227" s="1" t="n">
        <v>44503</v>
      </c>
      <c r="C2227" s="1" t="n">
        <v>45952</v>
      </c>
      <c r="D2227" t="inlineStr">
        <is>
          <t>ÖREBRO LÄN</t>
        </is>
      </c>
      <c r="E2227" t="inlineStr">
        <is>
          <t>LAXÅ</t>
        </is>
      </c>
      <c r="F2227" t="inlineStr">
        <is>
          <t>Sveaskog</t>
        </is>
      </c>
      <c r="G2227" t="n">
        <v>5.3</v>
      </c>
      <c r="H2227" t="n">
        <v>0</v>
      </c>
      <c r="I2227" t="n">
        <v>0</v>
      </c>
      <c r="J2227" t="n">
        <v>0</v>
      </c>
      <c r="K2227" t="n">
        <v>0</v>
      </c>
      <c r="L2227" t="n">
        <v>0</v>
      </c>
      <c r="M2227" t="n">
        <v>0</v>
      </c>
      <c r="N2227" t="n">
        <v>0</v>
      </c>
      <c r="O2227" t="n">
        <v>0</v>
      </c>
      <c r="P2227" t="n">
        <v>0</v>
      </c>
      <c r="Q2227" t="n">
        <v>0</v>
      </c>
      <c r="R2227" s="2" t="inlineStr"/>
    </row>
    <row r="2228" ht="15" customHeight="1">
      <c r="A2228" t="inlineStr">
        <is>
          <t>A 3643-2025</t>
        </is>
      </c>
      <c r="B2228" s="1" t="n">
        <v>45681</v>
      </c>
      <c r="C2228" s="1" t="n">
        <v>45952</v>
      </c>
      <c r="D2228" t="inlineStr">
        <is>
          <t>ÖREBRO LÄN</t>
        </is>
      </c>
      <c r="E2228" t="inlineStr">
        <is>
          <t>HÄLLEFORS</t>
        </is>
      </c>
      <c r="G2228" t="n">
        <v>20.8</v>
      </c>
      <c r="H2228" t="n">
        <v>0</v>
      </c>
      <c r="I2228" t="n">
        <v>0</v>
      </c>
      <c r="J2228" t="n">
        <v>0</v>
      </c>
      <c r="K2228" t="n">
        <v>0</v>
      </c>
      <c r="L2228" t="n">
        <v>0</v>
      </c>
      <c r="M2228" t="n">
        <v>0</v>
      </c>
      <c r="N2228" t="n">
        <v>0</v>
      </c>
      <c r="O2228" t="n">
        <v>0</v>
      </c>
      <c r="P2228" t="n">
        <v>0</v>
      </c>
      <c r="Q2228" t="n">
        <v>0</v>
      </c>
      <c r="R2228" s="2" t="inlineStr"/>
    </row>
    <row r="2229" ht="15" customHeight="1">
      <c r="A2229" t="inlineStr">
        <is>
          <t>A 46235-2023</t>
        </is>
      </c>
      <c r="B2229" s="1" t="n">
        <v>45196</v>
      </c>
      <c r="C2229" s="1" t="n">
        <v>45952</v>
      </c>
      <c r="D2229" t="inlineStr">
        <is>
          <t>ÖREBRO LÄN</t>
        </is>
      </c>
      <c r="E2229" t="inlineStr">
        <is>
          <t>HALLSBERG</t>
        </is>
      </c>
      <c r="F2229" t="inlineStr">
        <is>
          <t>Allmännings- och besparingsskogar</t>
        </is>
      </c>
      <c r="G2229" t="n">
        <v>7</v>
      </c>
      <c r="H2229" t="n">
        <v>0</v>
      </c>
      <c r="I2229" t="n">
        <v>0</v>
      </c>
      <c r="J2229" t="n">
        <v>0</v>
      </c>
      <c r="K2229" t="n">
        <v>0</v>
      </c>
      <c r="L2229" t="n">
        <v>0</v>
      </c>
      <c r="M2229" t="n">
        <v>0</v>
      </c>
      <c r="N2229" t="n">
        <v>0</v>
      </c>
      <c r="O2229" t="n">
        <v>0</v>
      </c>
      <c r="P2229" t="n">
        <v>0</v>
      </c>
      <c r="Q2229" t="n">
        <v>0</v>
      </c>
      <c r="R2229" s="2" t="inlineStr"/>
    </row>
    <row r="2230" ht="15" customHeight="1">
      <c r="A2230" t="inlineStr">
        <is>
          <t>A 24821-2024</t>
        </is>
      </c>
      <c r="B2230" s="1" t="n">
        <v>45461.34765046297</v>
      </c>
      <c r="C2230" s="1" t="n">
        <v>45952</v>
      </c>
      <c r="D2230" t="inlineStr">
        <is>
          <t>ÖREBRO LÄN</t>
        </is>
      </c>
      <c r="E2230" t="inlineStr">
        <is>
          <t>NORA</t>
        </is>
      </c>
      <c r="G2230" t="n">
        <v>12.2</v>
      </c>
      <c r="H2230" t="n">
        <v>0</v>
      </c>
      <c r="I2230" t="n">
        <v>0</v>
      </c>
      <c r="J2230" t="n">
        <v>0</v>
      </c>
      <c r="K2230" t="n">
        <v>0</v>
      </c>
      <c r="L2230" t="n">
        <v>0</v>
      </c>
      <c r="M2230" t="n">
        <v>0</v>
      </c>
      <c r="N2230" t="n">
        <v>0</v>
      </c>
      <c r="O2230" t="n">
        <v>0</v>
      </c>
      <c r="P2230" t="n">
        <v>0</v>
      </c>
      <c r="Q2230" t="n">
        <v>0</v>
      </c>
      <c r="R2230" s="2" t="inlineStr"/>
    </row>
    <row r="2231" ht="15" customHeight="1">
      <c r="A2231" t="inlineStr">
        <is>
          <t>A 24833-2024</t>
        </is>
      </c>
      <c r="B2231" s="1" t="n">
        <v>45461.39246527778</v>
      </c>
      <c r="C2231" s="1" t="n">
        <v>45952</v>
      </c>
      <c r="D2231" t="inlineStr">
        <is>
          <t>ÖREBRO LÄN</t>
        </is>
      </c>
      <c r="E2231" t="inlineStr">
        <is>
          <t>NORA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59557-2022</t>
        </is>
      </c>
      <c r="B2232" s="1" t="n">
        <v>44907.59805555556</v>
      </c>
      <c r="C2232" s="1" t="n">
        <v>45952</v>
      </c>
      <c r="D2232" t="inlineStr">
        <is>
          <t>ÖREBRO LÄN</t>
        </is>
      </c>
      <c r="E2232" t="inlineStr">
        <is>
          <t>HÄLLEFORS</t>
        </is>
      </c>
      <c r="F2232" t="inlineStr">
        <is>
          <t>Bergvik skog väst AB</t>
        </is>
      </c>
      <c r="G2232" t="n">
        <v>11.2</v>
      </c>
      <c r="H2232" t="n">
        <v>0</v>
      </c>
      <c r="I2232" t="n">
        <v>0</v>
      </c>
      <c r="J2232" t="n">
        <v>0</v>
      </c>
      <c r="K2232" t="n">
        <v>0</v>
      </c>
      <c r="L2232" t="n">
        <v>0</v>
      </c>
      <c r="M2232" t="n">
        <v>0</v>
      </c>
      <c r="N2232" t="n">
        <v>0</v>
      </c>
      <c r="O2232" t="n">
        <v>0</v>
      </c>
      <c r="P2232" t="n">
        <v>0</v>
      </c>
      <c r="Q2232" t="n">
        <v>0</v>
      </c>
      <c r="R2232" s="2" t="inlineStr"/>
    </row>
    <row r="2233" ht="15" customHeight="1">
      <c r="A2233" t="inlineStr">
        <is>
          <t>A 59562-2022</t>
        </is>
      </c>
      <c r="B2233" s="1" t="n">
        <v>44907.60333333333</v>
      </c>
      <c r="C2233" s="1" t="n">
        <v>45952</v>
      </c>
      <c r="D2233" t="inlineStr">
        <is>
          <t>ÖREBRO LÄN</t>
        </is>
      </c>
      <c r="E2233" t="inlineStr">
        <is>
          <t>ASKERSUND</t>
        </is>
      </c>
      <c r="F2233" t="inlineStr">
        <is>
          <t>Sveaskog</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47193-2023</t>
        </is>
      </c>
      <c r="B2234" s="1" t="n">
        <v>45202.3074537037</v>
      </c>
      <c r="C2234" s="1" t="n">
        <v>45952</v>
      </c>
      <c r="D2234" t="inlineStr">
        <is>
          <t>ÖREBRO LÄN</t>
        </is>
      </c>
      <c r="E2234" t="inlineStr">
        <is>
          <t>ÖREBRO</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59026-2024</t>
        </is>
      </c>
      <c r="B2235" s="1" t="n">
        <v>45636.6875</v>
      </c>
      <c r="C2235" s="1" t="n">
        <v>45952</v>
      </c>
      <c r="D2235" t="inlineStr">
        <is>
          <t>ÖREBRO LÄN</t>
        </is>
      </c>
      <c r="E2235" t="inlineStr">
        <is>
          <t>ÖREBRO</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15073-2022</t>
        </is>
      </c>
      <c r="B2236" s="1" t="n">
        <v>44657</v>
      </c>
      <c r="C2236" s="1" t="n">
        <v>45952</v>
      </c>
      <c r="D2236" t="inlineStr">
        <is>
          <t>ÖREBRO LÄN</t>
        </is>
      </c>
      <c r="E2236" t="inlineStr">
        <is>
          <t>HÄLLEFORS</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46792-2023</t>
        </is>
      </c>
      <c r="B2237" s="1" t="n">
        <v>45198</v>
      </c>
      <c r="C2237" s="1" t="n">
        <v>45952</v>
      </c>
      <c r="D2237" t="inlineStr">
        <is>
          <t>ÖREBRO LÄN</t>
        </is>
      </c>
      <c r="E2237" t="inlineStr">
        <is>
          <t>HALLSBERG</t>
        </is>
      </c>
      <c r="F2237" t="inlineStr">
        <is>
          <t>Allmännings- och besparingsskogar</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6305-2024</t>
        </is>
      </c>
      <c r="B2238" s="1" t="n">
        <v>45338.35387731482</v>
      </c>
      <c r="C2238" s="1" t="n">
        <v>45952</v>
      </c>
      <c r="D2238" t="inlineStr">
        <is>
          <t>ÖREBRO LÄN</t>
        </is>
      </c>
      <c r="E2238" t="inlineStr">
        <is>
          <t>LAXÅ</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6315-2024</t>
        </is>
      </c>
      <c r="B2239" s="1" t="n">
        <v>45338.38407407407</v>
      </c>
      <c r="C2239" s="1" t="n">
        <v>45952</v>
      </c>
      <c r="D2239" t="inlineStr">
        <is>
          <t>ÖREBRO LÄN</t>
        </is>
      </c>
      <c r="E2239" t="inlineStr">
        <is>
          <t>KUMLA</t>
        </is>
      </c>
      <c r="G2239" t="n">
        <v>4.7</v>
      </c>
      <c r="H2239" t="n">
        <v>0</v>
      </c>
      <c r="I2239" t="n">
        <v>0</v>
      </c>
      <c r="J2239" t="n">
        <v>0</v>
      </c>
      <c r="K2239" t="n">
        <v>0</v>
      </c>
      <c r="L2239" t="n">
        <v>0</v>
      </c>
      <c r="M2239" t="n">
        <v>0</v>
      </c>
      <c r="N2239" t="n">
        <v>0</v>
      </c>
      <c r="O2239" t="n">
        <v>0</v>
      </c>
      <c r="P2239" t="n">
        <v>0</v>
      </c>
      <c r="Q2239" t="n">
        <v>0</v>
      </c>
      <c r="R2239" s="2" t="inlineStr"/>
    </row>
    <row r="2240" ht="15" customHeight="1">
      <c r="A2240" t="inlineStr">
        <is>
          <t>A 25843-2024</t>
        </is>
      </c>
      <c r="B2240" s="1" t="n">
        <v>45467.43387731481</v>
      </c>
      <c r="C2240" s="1" t="n">
        <v>45952</v>
      </c>
      <c r="D2240" t="inlineStr">
        <is>
          <t>ÖREBRO LÄN</t>
        </is>
      </c>
      <c r="E2240" t="inlineStr">
        <is>
          <t>LAXÅ</t>
        </is>
      </c>
      <c r="F2240" t="inlineStr">
        <is>
          <t>Sveaskog</t>
        </is>
      </c>
      <c r="G2240" t="n">
        <v>6.2</v>
      </c>
      <c r="H2240" t="n">
        <v>0</v>
      </c>
      <c r="I2240" t="n">
        <v>0</v>
      </c>
      <c r="J2240" t="n">
        <v>0</v>
      </c>
      <c r="K2240" t="n">
        <v>0</v>
      </c>
      <c r="L2240" t="n">
        <v>0</v>
      </c>
      <c r="M2240" t="n">
        <v>0</v>
      </c>
      <c r="N2240" t="n">
        <v>0</v>
      </c>
      <c r="O2240" t="n">
        <v>0</v>
      </c>
      <c r="P2240" t="n">
        <v>0</v>
      </c>
      <c r="Q2240" t="n">
        <v>0</v>
      </c>
      <c r="R2240" s="2" t="inlineStr"/>
    </row>
    <row r="2241" ht="15" customHeight="1">
      <c r="A2241" t="inlineStr">
        <is>
          <t>A 8612-2023</t>
        </is>
      </c>
      <c r="B2241" s="1" t="n">
        <v>44977</v>
      </c>
      <c r="C2241" s="1" t="n">
        <v>45952</v>
      </c>
      <c r="D2241" t="inlineStr">
        <is>
          <t>ÖREBRO LÄN</t>
        </is>
      </c>
      <c r="E2241" t="inlineStr">
        <is>
          <t>KUMLA</t>
        </is>
      </c>
      <c r="G2241" t="n">
        <v>0.2</v>
      </c>
      <c r="H2241" t="n">
        <v>0</v>
      </c>
      <c r="I2241" t="n">
        <v>0</v>
      </c>
      <c r="J2241" t="n">
        <v>0</v>
      </c>
      <c r="K2241" t="n">
        <v>0</v>
      </c>
      <c r="L2241" t="n">
        <v>0</v>
      </c>
      <c r="M2241" t="n">
        <v>0</v>
      </c>
      <c r="N2241" t="n">
        <v>0</v>
      </c>
      <c r="O2241" t="n">
        <v>0</v>
      </c>
      <c r="P2241" t="n">
        <v>0</v>
      </c>
      <c r="Q2241" t="n">
        <v>0</v>
      </c>
      <c r="R2241" s="2" t="inlineStr"/>
    </row>
    <row r="2242" ht="15" customHeight="1">
      <c r="A2242" t="inlineStr">
        <is>
          <t>A 61733-2024</t>
        </is>
      </c>
      <c r="B2242" s="1" t="n">
        <v>45649.34486111111</v>
      </c>
      <c r="C2242" s="1" t="n">
        <v>45952</v>
      </c>
      <c r="D2242" t="inlineStr">
        <is>
          <t>ÖREBRO LÄN</t>
        </is>
      </c>
      <c r="E2242" t="inlineStr">
        <is>
          <t>LEKEBERG</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61960-2024</t>
        </is>
      </c>
      <c r="B2243" s="1" t="n">
        <v>45653.53664351852</v>
      </c>
      <c r="C2243" s="1" t="n">
        <v>45952</v>
      </c>
      <c r="D2243" t="inlineStr">
        <is>
          <t>ÖREBRO LÄN</t>
        </is>
      </c>
      <c r="E2243" t="inlineStr">
        <is>
          <t>LINDESBERG</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50578-2022</t>
        </is>
      </c>
      <c r="B2244" s="1" t="n">
        <v>44866.65612268518</v>
      </c>
      <c r="C2244" s="1" t="n">
        <v>45952</v>
      </c>
      <c r="D2244" t="inlineStr">
        <is>
          <t>ÖREBRO LÄN</t>
        </is>
      </c>
      <c r="E2244" t="inlineStr">
        <is>
          <t>ASKERSUND</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10672-2024</t>
        </is>
      </c>
      <c r="B2245" s="1" t="n">
        <v>45369.35207175926</v>
      </c>
      <c r="C2245" s="1" t="n">
        <v>45952</v>
      </c>
      <c r="D2245" t="inlineStr">
        <is>
          <t>ÖREBRO LÄN</t>
        </is>
      </c>
      <c r="E2245" t="inlineStr">
        <is>
          <t>DEGERFORS</t>
        </is>
      </c>
      <c r="F2245" t="inlineStr">
        <is>
          <t>Sveaskog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6267-2025</t>
        </is>
      </c>
      <c r="B2246" s="1" t="n">
        <v>45698</v>
      </c>
      <c r="C2246" s="1" t="n">
        <v>45952</v>
      </c>
      <c r="D2246" t="inlineStr">
        <is>
          <t>ÖREBRO LÄN</t>
        </is>
      </c>
      <c r="E2246" t="inlineStr">
        <is>
          <t>KUMLA</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17823-2021</t>
        </is>
      </c>
      <c r="B2247" s="1" t="n">
        <v>44300</v>
      </c>
      <c r="C2247" s="1" t="n">
        <v>45952</v>
      </c>
      <c r="D2247" t="inlineStr">
        <is>
          <t>ÖREBRO LÄN</t>
        </is>
      </c>
      <c r="E2247" t="inlineStr">
        <is>
          <t>LINDESBERG</t>
        </is>
      </c>
      <c r="G2247" t="n">
        <v>3.9</v>
      </c>
      <c r="H2247" t="n">
        <v>0</v>
      </c>
      <c r="I2247" t="n">
        <v>0</v>
      </c>
      <c r="J2247" t="n">
        <v>0</v>
      </c>
      <c r="K2247" t="n">
        <v>0</v>
      </c>
      <c r="L2247" t="n">
        <v>0</v>
      </c>
      <c r="M2247" t="n">
        <v>0</v>
      </c>
      <c r="N2247" t="n">
        <v>0</v>
      </c>
      <c r="O2247" t="n">
        <v>0</v>
      </c>
      <c r="P2247" t="n">
        <v>0</v>
      </c>
      <c r="Q2247" t="n">
        <v>0</v>
      </c>
      <c r="R2247" s="2" t="inlineStr"/>
    </row>
    <row r="2248" ht="15" customHeight="1">
      <c r="A2248" t="inlineStr">
        <is>
          <t>A 41540-2024</t>
        </is>
      </c>
      <c r="B2248" s="1" t="n">
        <v>45560.50434027778</v>
      </c>
      <c r="C2248" s="1" t="n">
        <v>45952</v>
      </c>
      <c r="D2248" t="inlineStr">
        <is>
          <t>ÖREBRO LÄN</t>
        </is>
      </c>
      <c r="E2248" t="inlineStr">
        <is>
          <t>ASKERSUND</t>
        </is>
      </c>
      <c r="F2248" t="inlineStr">
        <is>
          <t>Sveaskog</t>
        </is>
      </c>
      <c r="G2248" t="n">
        <v>9.199999999999999</v>
      </c>
      <c r="H2248" t="n">
        <v>0</v>
      </c>
      <c r="I2248" t="n">
        <v>0</v>
      </c>
      <c r="J2248" t="n">
        <v>0</v>
      </c>
      <c r="K2248" t="n">
        <v>0</v>
      </c>
      <c r="L2248" t="n">
        <v>0</v>
      </c>
      <c r="M2248" t="n">
        <v>0</v>
      </c>
      <c r="N2248" t="n">
        <v>0</v>
      </c>
      <c r="O2248" t="n">
        <v>0</v>
      </c>
      <c r="P2248" t="n">
        <v>0</v>
      </c>
      <c r="Q2248" t="n">
        <v>0</v>
      </c>
      <c r="R2248" s="2" t="inlineStr"/>
    </row>
    <row r="2249" ht="15" customHeight="1">
      <c r="A2249" t="inlineStr">
        <is>
          <t>A 34436-2023</t>
        </is>
      </c>
      <c r="B2249" s="1" t="n">
        <v>45139.64328703703</v>
      </c>
      <c r="C2249" s="1" t="n">
        <v>45952</v>
      </c>
      <c r="D2249" t="inlineStr">
        <is>
          <t>ÖREBRO LÄN</t>
        </is>
      </c>
      <c r="E2249" t="inlineStr">
        <is>
          <t>LINDESBERG</t>
        </is>
      </c>
      <c r="F2249" t="inlineStr">
        <is>
          <t>Kyrkan</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35345-2024</t>
        </is>
      </c>
      <c r="B2250" s="1" t="n">
        <v>45530</v>
      </c>
      <c r="C2250" s="1" t="n">
        <v>45952</v>
      </c>
      <c r="D2250" t="inlineStr">
        <is>
          <t>ÖREBRO LÄN</t>
        </is>
      </c>
      <c r="E2250" t="inlineStr">
        <is>
          <t>ÖREBRO</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43933-2024</t>
        </is>
      </c>
      <c r="B2251" s="1" t="n">
        <v>45572.45697916667</v>
      </c>
      <c r="C2251" s="1" t="n">
        <v>45952</v>
      </c>
      <c r="D2251" t="inlineStr">
        <is>
          <t>ÖREBRO LÄN</t>
        </is>
      </c>
      <c r="E2251" t="inlineStr">
        <is>
          <t>ASKERSUND</t>
        </is>
      </c>
      <c r="F2251" t="inlineStr">
        <is>
          <t>Sveaskog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7120-2025</t>
        </is>
      </c>
      <c r="B2252" s="1" t="n">
        <v>45702</v>
      </c>
      <c r="C2252" s="1" t="n">
        <v>45952</v>
      </c>
      <c r="D2252" t="inlineStr">
        <is>
          <t>ÖREBRO LÄN</t>
        </is>
      </c>
      <c r="E2252" t="inlineStr">
        <is>
          <t>LINDESBERG</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2653-2024</t>
        </is>
      </c>
      <c r="B2253" s="1" t="n">
        <v>45314</v>
      </c>
      <c r="C2253" s="1" t="n">
        <v>45952</v>
      </c>
      <c r="D2253" t="inlineStr">
        <is>
          <t>ÖREBRO LÄN</t>
        </is>
      </c>
      <c r="E2253" t="inlineStr">
        <is>
          <t>KUMLA</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2565-2022</t>
        </is>
      </c>
      <c r="B2254" s="1" t="n">
        <v>44579</v>
      </c>
      <c r="C2254" s="1" t="n">
        <v>45952</v>
      </c>
      <c r="D2254" t="inlineStr">
        <is>
          <t>ÖREBRO LÄN</t>
        </is>
      </c>
      <c r="E2254" t="inlineStr">
        <is>
          <t>DEGERFORS</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2596-2022</t>
        </is>
      </c>
      <c r="B2255" s="1" t="n">
        <v>44580</v>
      </c>
      <c r="C2255" s="1" t="n">
        <v>45952</v>
      </c>
      <c r="D2255" t="inlineStr">
        <is>
          <t>ÖREBRO LÄN</t>
        </is>
      </c>
      <c r="E2255" t="inlineStr">
        <is>
          <t>ÖREBRO</t>
        </is>
      </c>
      <c r="G2255" t="n">
        <v>4.3</v>
      </c>
      <c r="H2255" t="n">
        <v>0</v>
      </c>
      <c r="I2255" t="n">
        <v>0</v>
      </c>
      <c r="J2255" t="n">
        <v>0</v>
      </c>
      <c r="K2255" t="n">
        <v>0</v>
      </c>
      <c r="L2255" t="n">
        <v>0</v>
      </c>
      <c r="M2255" t="n">
        <v>0</v>
      </c>
      <c r="N2255" t="n">
        <v>0</v>
      </c>
      <c r="O2255" t="n">
        <v>0</v>
      </c>
      <c r="P2255" t="n">
        <v>0</v>
      </c>
      <c r="Q2255" t="n">
        <v>0</v>
      </c>
      <c r="R2255" s="2" t="inlineStr"/>
    </row>
    <row r="2256" ht="15" customHeight="1">
      <c r="A2256" t="inlineStr">
        <is>
          <t>A 19809-2025</t>
        </is>
      </c>
      <c r="B2256" s="1" t="n">
        <v>45771.45527777778</v>
      </c>
      <c r="C2256" s="1" t="n">
        <v>45952</v>
      </c>
      <c r="D2256" t="inlineStr">
        <is>
          <t>ÖREBRO LÄN</t>
        </is>
      </c>
      <c r="E2256" t="inlineStr">
        <is>
          <t>LAXÅ</t>
        </is>
      </c>
      <c r="F2256" t="inlineStr">
        <is>
          <t>Sveaskog</t>
        </is>
      </c>
      <c r="G2256" t="n">
        <v>7.7</v>
      </c>
      <c r="H2256" t="n">
        <v>0</v>
      </c>
      <c r="I2256" t="n">
        <v>0</v>
      </c>
      <c r="J2256" t="n">
        <v>0</v>
      </c>
      <c r="K2256" t="n">
        <v>0</v>
      </c>
      <c r="L2256" t="n">
        <v>0</v>
      </c>
      <c r="M2256" t="n">
        <v>0</v>
      </c>
      <c r="N2256" t="n">
        <v>0</v>
      </c>
      <c r="O2256" t="n">
        <v>0</v>
      </c>
      <c r="P2256" t="n">
        <v>0</v>
      </c>
      <c r="Q2256" t="n">
        <v>0</v>
      </c>
      <c r="R2256" s="2" t="inlineStr"/>
    </row>
    <row r="2257" ht="15" customHeight="1">
      <c r="A2257" t="inlineStr">
        <is>
          <t>A 19813-2025</t>
        </is>
      </c>
      <c r="B2257" s="1" t="n">
        <v>45771.45670138889</v>
      </c>
      <c r="C2257" s="1" t="n">
        <v>45952</v>
      </c>
      <c r="D2257" t="inlineStr">
        <is>
          <t>ÖREBRO LÄN</t>
        </is>
      </c>
      <c r="E2257" t="inlineStr">
        <is>
          <t>LAXÅ</t>
        </is>
      </c>
      <c r="F2257" t="inlineStr">
        <is>
          <t>Sveaskog</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8568-2021</t>
        </is>
      </c>
      <c r="B2258" s="1" t="n">
        <v>44245</v>
      </c>
      <c r="C2258" s="1" t="n">
        <v>45952</v>
      </c>
      <c r="D2258" t="inlineStr">
        <is>
          <t>ÖREBRO LÄN</t>
        </is>
      </c>
      <c r="E2258" t="inlineStr">
        <is>
          <t>ÖREBRO</t>
        </is>
      </c>
      <c r="G2258" t="n">
        <v>4.8</v>
      </c>
      <c r="H2258" t="n">
        <v>0</v>
      </c>
      <c r="I2258" t="n">
        <v>0</v>
      </c>
      <c r="J2258" t="n">
        <v>0</v>
      </c>
      <c r="K2258" t="n">
        <v>0</v>
      </c>
      <c r="L2258" t="n">
        <v>0</v>
      </c>
      <c r="M2258" t="n">
        <v>0</v>
      </c>
      <c r="N2258" t="n">
        <v>0</v>
      </c>
      <c r="O2258" t="n">
        <v>0</v>
      </c>
      <c r="P2258" t="n">
        <v>0</v>
      </c>
      <c r="Q2258" t="n">
        <v>0</v>
      </c>
      <c r="R2258" s="2" t="inlineStr"/>
    </row>
    <row r="2259" ht="15" customHeight="1">
      <c r="A2259" t="inlineStr">
        <is>
          <t>A 17465-2023</t>
        </is>
      </c>
      <c r="B2259" s="1" t="n">
        <v>45036</v>
      </c>
      <c r="C2259" s="1" t="n">
        <v>45952</v>
      </c>
      <c r="D2259" t="inlineStr">
        <is>
          <t>ÖREBRO LÄN</t>
        </is>
      </c>
      <c r="E2259" t="inlineStr">
        <is>
          <t>ÖREBRO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195-2022</t>
        </is>
      </c>
      <c r="B2260" s="1" t="n">
        <v>44564</v>
      </c>
      <c r="C2260" s="1" t="n">
        <v>45952</v>
      </c>
      <c r="D2260" t="inlineStr">
        <is>
          <t>ÖREBRO LÄN</t>
        </is>
      </c>
      <c r="E2260" t="inlineStr">
        <is>
          <t>LINDESBERG</t>
        </is>
      </c>
      <c r="G2260" t="n">
        <v>4.7</v>
      </c>
      <c r="H2260" t="n">
        <v>0</v>
      </c>
      <c r="I2260" t="n">
        <v>0</v>
      </c>
      <c r="J2260" t="n">
        <v>0</v>
      </c>
      <c r="K2260" t="n">
        <v>0</v>
      </c>
      <c r="L2260" t="n">
        <v>0</v>
      </c>
      <c r="M2260" t="n">
        <v>0</v>
      </c>
      <c r="N2260" t="n">
        <v>0</v>
      </c>
      <c r="O2260" t="n">
        <v>0</v>
      </c>
      <c r="P2260" t="n">
        <v>0</v>
      </c>
      <c r="Q2260" t="n">
        <v>0</v>
      </c>
      <c r="R2260" s="2" t="inlineStr"/>
    </row>
    <row r="2261" ht="15" customHeight="1">
      <c r="A2261" t="inlineStr">
        <is>
          <t>A 54082-2024</t>
        </is>
      </c>
      <c r="B2261" s="1" t="n">
        <v>45616.4956712963</v>
      </c>
      <c r="C2261" s="1" t="n">
        <v>45952</v>
      </c>
      <c r="D2261" t="inlineStr">
        <is>
          <t>ÖREBRO LÄN</t>
        </is>
      </c>
      <c r="E2261" t="inlineStr">
        <is>
          <t>DEGERFORS</t>
        </is>
      </c>
      <c r="G2261" t="n">
        <v>6.3</v>
      </c>
      <c r="H2261" t="n">
        <v>0</v>
      </c>
      <c r="I2261" t="n">
        <v>0</v>
      </c>
      <c r="J2261" t="n">
        <v>0</v>
      </c>
      <c r="K2261" t="n">
        <v>0</v>
      </c>
      <c r="L2261" t="n">
        <v>0</v>
      </c>
      <c r="M2261" t="n">
        <v>0</v>
      </c>
      <c r="N2261" t="n">
        <v>0</v>
      </c>
      <c r="O2261" t="n">
        <v>0</v>
      </c>
      <c r="P2261" t="n">
        <v>0</v>
      </c>
      <c r="Q2261" t="n">
        <v>0</v>
      </c>
      <c r="R2261" s="2" t="inlineStr"/>
    </row>
    <row r="2262" ht="15" customHeight="1">
      <c r="A2262" t="inlineStr">
        <is>
          <t>A 54860-2024</t>
        </is>
      </c>
      <c r="B2262" s="1" t="n">
        <v>45618.59219907408</v>
      </c>
      <c r="C2262" s="1" t="n">
        <v>45952</v>
      </c>
      <c r="D2262" t="inlineStr">
        <is>
          <t>ÖREBRO LÄN</t>
        </is>
      </c>
      <c r="E2262" t="inlineStr">
        <is>
          <t>LINDESBERG</t>
        </is>
      </c>
      <c r="F2262" t="inlineStr">
        <is>
          <t>Sveaskog</t>
        </is>
      </c>
      <c r="G2262" t="n">
        <v>0.3</v>
      </c>
      <c r="H2262" t="n">
        <v>0</v>
      </c>
      <c r="I2262" t="n">
        <v>0</v>
      </c>
      <c r="J2262" t="n">
        <v>0</v>
      </c>
      <c r="K2262" t="n">
        <v>0</v>
      </c>
      <c r="L2262" t="n">
        <v>0</v>
      </c>
      <c r="M2262" t="n">
        <v>0</v>
      </c>
      <c r="N2262" t="n">
        <v>0</v>
      </c>
      <c r="O2262" t="n">
        <v>0</v>
      </c>
      <c r="P2262" t="n">
        <v>0</v>
      </c>
      <c r="Q2262" t="n">
        <v>0</v>
      </c>
      <c r="R2262" s="2" t="inlineStr"/>
    </row>
    <row r="2263" ht="15" customHeight="1">
      <c r="A2263" t="inlineStr">
        <is>
          <t>A 54876-2024</t>
        </is>
      </c>
      <c r="B2263" s="1" t="n">
        <v>45618.60305555556</v>
      </c>
      <c r="C2263" s="1" t="n">
        <v>45952</v>
      </c>
      <c r="D2263" t="inlineStr">
        <is>
          <t>ÖREBRO LÄN</t>
        </is>
      </c>
      <c r="E2263" t="inlineStr">
        <is>
          <t>LAXÅ</t>
        </is>
      </c>
      <c r="F2263" t="inlineStr">
        <is>
          <t>Sveaskog</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51379-2023</t>
        </is>
      </c>
      <c r="B2264" s="1" t="n">
        <v>45219</v>
      </c>
      <c r="C2264" s="1" t="n">
        <v>45952</v>
      </c>
      <c r="D2264" t="inlineStr">
        <is>
          <t>ÖREBRO LÄN</t>
        </is>
      </c>
      <c r="E2264" t="inlineStr">
        <is>
          <t>LINDESBERG</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56507-2021</t>
        </is>
      </c>
      <c r="B2265" s="1" t="n">
        <v>44480.58034722223</v>
      </c>
      <c r="C2265" s="1" t="n">
        <v>45952</v>
      </c>
      <c r="D2265" t="inlineStr">
        <is>
          <t>ÖREBRO LÄN</t>
        </is>
      </c>
      <c r="E2265" t="inlineStr">
        <is>
          <t>LINDESBERG</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57747-2022</t>
        </is>
      </c>
      <c r="B2266" s="1" t="n">
        <v>44897</v>
      </c>
      <c r="C2266" s="1" t="n">
        <v>45952</v>
      </c>
      <c r="D2266" t="inlineStr">
        <is>
          <t>ÖREBRO LÄN</t>
        </is>
      </c>
      <c r="E2266" t="inlineStr">
        <is>
          <t>LAXÅ</t>
        </is>
      </c>
      <c r="F2266" t="inlineStr">
        <is>
          <t>Sveaskog</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38782-2025</t>
        </is>
      </c>
      <c r="B2267" s="1" t="n">
        <v>45887</v>
      </c>
      <c r="C2267" s="1" t="n">
        <v>45952</v>
      </c>
      <c r="D2267" t="inlineStr">
        <is>
          <t>ÖREBRO LÄN</t>
        </is>
      </c>
      <c r="E2267" t="inlineStr">
        <is>
          <t>DEGERFORS</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45517-2023</t>
        </is>
      </c>
      <c r="B2268" s="1" t="n">
        <v>45194.49594907407</v>
      </c>
      <c r="C2268" s="1" t="n">
        <v>45952</v>
      </c>
      <c r="D2268" t="inlineStr">
        <is>
          <t>ÖREBRO LÄN</t>
        </is>
      </c>
      <c r="E2268" t="inlineStr">
        <is>
          <t>ÖREBRO</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16054-2022</t>
        </is>
      </c>
      <c r="B2269" s="1" t="n">
        <v>44665</v>
      </c>
      <c r="C2269" s="1" t="n">
        <v>45952</v>
      </c>
      <c r="D2269" t="inlineStr">
        <is>
          <t>ÖREBRO LÄN</t>
        </is>
      </c>
      <c r="E2269" t="inlineStr">
        <is>
          <t>LINDESBERG</t>
        </is>
      </c>
      <c r="G2269" t="n">
        <v>6.9</v>
      </c>
      <c r="H2269" t="n">
        <v>0</v>
      </c>
      <c r="I2269" t="n">
        <v>0</v>
      </c>
      <c r="J2269" t="n">
        <v>0</v>
      </c>
      <c r="K2269" t="n">
        <v>0</v>
      </c>
      <c r="L2269" t="n">
        <v>0</v>
      </c>
      <c r="M2269" t="n">
        <v>0</v>
      </c>
      <c r="N2269" t="n">
        <v>0</v>
      </c>
      <c r="O2269" t="n">
        <v>0</v>
      </c>
      <c r="P2269" t="n">
        <v>0</v>
      </c>
      <c r="Q2269" t="n">
        <v>0</v>
      </c>
      <c r="R2269" s="2" t="inlineStr"/>
    </row>
    <row r="2270" ht="15" customHeight="1">
      <c r="A2270" t="inlineStr">
        <is>
          <t>A 46174-2021</t>
        </is>
      </c>
      <c r="B2270" s="1" t="n">
        <v>44442</v>
      </c>
      <c r="C2270" s="1" t="n">
        <v>45952</v>
      </c>
      <c r="D2270" t="inlineStr">
        <is>
          <t>ÖREBRO LÄN</t>
        </is>
      </c>
      <c r="E2270" t="inlineStr">
        <is>
          <t>ASKERSUND</t>
        </is>
      </c>
      <c r="G2270" t="n">
        <v>15.7</v>
      </c>
      <c r="H2270" t="n">
        <v>0</v>
      </c>
      <c r="I2270" t="n">
        <v>0</v>
      </c>
      <c r="J2270" t="n">
        <v>0</v>
      </c>
      <c r="K2270" t="n">
        <v>0</v>
      </c>
      <c r="L2270" t="n">
        <v>0</v>
      </c>
      <c r="M2270" t="n">
        <v>0</v>
      </c>
      <c r="N2270" t="n">
        <v>0</v>
      </c>
      <c r="O2270" t="n">
        <v>0</v>
      </c>
      <c r="P2270" t="n">
        <v>0</v>
      </c>
      <c r="Q2270" t="n">
        <v>0</v>
      </c>
      <c r="R2270" s="2" t="inlineStr"/>
    </row>
    <row r="2271" ht="15" customHeight="1">
      <c r="A2271" t="inlineStr">
        <is>
          <t>A 32154-2023</t>
        </is>
      </c>
      <c r="B2271" s="1" t="n">
        <v>45119</v>
      </c>
      <c r="C2271" s="1" t="n">
        <v>45952</v>
      </c>
      <c r="D2271" t="inlineStr">
        <is>
          <t>ÖREBRO LÄN</t>
        </is>
      </c>
      <c r="E2271" t="inlineStr">
        <is>
          <t>DEGERFORS</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50259-2024</t>
        </is>
      </c>
      <c r="B2272" s="1" t="n">
        <v>45600</v>
      </c>
      <c r="C2272" s="1" t="n">
        <v>45952</v>
      </c>
      <c r="D2272" t="inlineStr">
        <is>
          <t>ÖREBRO LÄN</t>
        </is>
      </c>
      <c r="E2272" t="inlineStr">
        <is>
          <t>HALLSBERG</t>
        </is>
      </c>
      <c r="F2272" t="inlineStr">
        <is>
          <t>Sveaskog</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49544-2023</t>
        </is>
      </c>
      <c r="B2273" s="1" t="n">
        <v>45211</v>
      </c>
      <c r="C2273" s="1" t="n">
        <v>45952</v>
      </c>
      <c r="D2273" t="inlineStr">
        <is>
          <t>ÖREBRO LÄN</t>
        </is>
      </c>
      <c r="E2273" t="inlineStr">
        <is>
          <t>LINDESBERG</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46863-2024</t>
        </is>
      </c>
      <c r="B2274" s="1" t="n">
        <v>45583</v>
      </c>
      <c r="C2274" s="1" t="n">
        <v>45952</v>
      </c>
      <c r="D2274" t="inlineStr">
        <is>
          <t>ÖREBRO LÄN</t>
        </is>
      </c>
      <c r="E2274" t="inlineStr">
        <is>
          <t>HALLSBERG</t>
        </is>
      </c>
      <c r="F2274" t="inlineStr">
        <is>
          <t>Sveaskog</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48756-2024</t>
        </is>
      </c>
      <c r="B2275" s="1" t="n">
        <v>45593.59681712963</v>
      </c>
      <c r="C2275" s="1" t="n">
        <v>45952</v>
      </c>
      <c r="D2275" t="inlineStr">
        <is>
          <t>ÖREBRO LÄN</t>
        </is>
      </c>
      <c r="E2275" t="inlineStr">
        <is>
          <t>LINDESBERG</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1515-2024</t>
        </is>
      </c>
      <c r="B2276" s="1" t="n">
        <v>45305</v>
      </c>
      <c r="C2276" s="1" t="n">
        <v>45952</v>
      </c>
      <c r="D2276" t="inlineStr">
        <is>
          <t>ÖREBRO LÄN</t>
        </is>
      </c>
      <c r="E2276" t="inlineStr">
        <is>
          <t>LEKEBERG</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52202-2024</t>
        </is>
      </c>
      <c r="B2277" s="1" t="n">
        <v>45608</v>
      </c>
      <c r="C2277" s="1" t="n">
        <v>45952</v>
      </c>
      <c r="D2277" t="inlineStr">
        <is>
          <t>ÖREBRO LÄN</t>
        </is>
      </c>
      <c r="E2277" t="inlineStr">
        <is>
          <t>KUMLA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15625-2022</t>
        </is>
      </c>
      <c r="B2278" s="1" t="n">
        <v>44662.70594907407</v>
      </c>
      <c r="C2278" s="1" t="n">
        <v>45952</v>
      </c>
      <c r="D2278" t="inlineStr">
        <is>
          <t>ÖREBRO LÄN</t>
        </is>
      </c>
      <c r="E2278" t="inlineStr">
        <is>
          <t>ASKERSUND</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62501-2022</t>
        </is>
      </c>
      <c r="B2279" s="1" t="n">
        <v>44924.593125</v>
      </c>
      <c r="C2279" s="1" t="n">
        <v>45952</v>
      </c>
      <c r="D2279" t="inlineStr">
        <is>
          <t>ÖREBRO LÄN</t>
        </is>
      </c>
      <c r="E2279" t="inlineStr">
        <is>
          <t>HÄLLEFORS</t>
        </is>
      </c>
      <c r="G2279" t="n">
        <v>3</v>
      </c>
      <c r="H2279" t="n">
        <v>0</v>
      </c>
      <c r="I2279" t="n">
        <v>0</v>
      </c>
      <c r="J2279" t="n">
        <v>0</v>
      </c>
      <c r="K2279" t="n">
        <v>0</v>
      </c>
      <c r="L2279" t="n">
        <v>0</v>
      </c>
      <c r="M2279" t="n">
        <v>0</v>
      </c>
      <c r="N2279" t="n">
        <v>0</v>
      </c>
      <c r="O2279" t="n">
        <v>0</v>
      </c>
      <c r="P2279" t="n">
        <v>0</v>
      </c>
      <c r="Q2279" t="n">
        <v>0</v>
      </c>
      <c r="R2279" s="2" t="inlineStr"/>
    </row>
    <row r="2280" ht="15" customHeight="1">
      <c r="A2280" t="inlineStr">
        <is>
          <t>A 14928-2022</t>
        </is>
      </c>
      <c r="B2280" s="1" t="n">
        <v>44657</v>
      </c>
      <c r="C2280" s="1" t="n">
        <v>45952</v>
      </c>
      <c r="D2280" t="inlineStr">
        <is>
          <t>ÖREBRO LÄN</t>
        </is>
      </c>
      <c r="E2280" t="inlineStr">
        <is>
          <t>HALLSBERG</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40974-2021</t>
        </is>
      </c>
      <c r="B2281" s="1" t="n">
        <v>44421.58943287037</v>
      </c>
      <c r="C2281" s="1" t="n">
        <v>45952</v>
      </c>
      <c r="D2281" t="inlineStr">
        <is>
          <t>ÖREBRO LÄN</t>
        </is>
      </c>
      <c r="E2281" t="inlineStr">
        <is>
          <t>KUMLA</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12964-2025</t>
        </is>
      </c>
      <c r="B2282" s="1" t="n">
        <v>45734.4234375</v>
      </c>
      <c r="C2282" s="1" t="n">
        <v>45952</v>
      </c>
      <c r="D2282" t="inlineStr">
        <is>
          <t>ÖREBRO LÄN</t>
        </is>
      </c>
      <c r="E2282" t="inlineStr">
        <is>
          <t>LAXÅ</t>
        </is>
      </c>
      <c r="F2282" t="inlineStr">
        <is>
          <t>Sveaskog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17003-2022</t>
        </is>
      </c>
      <c r="B2283" s="1" t="n">
        <v>44676</v>
      </c>
      <c r="C2283" s="1" t="n">
        <v>45952</v>
      </c>
      <c r="D2283" t="inlineStr">
        <is>
          <t>ÖREBRO LÄN</t>
        </is>
      </c>
      <c r="E2283" t="inlineStr">
        <is>
          <t>HALLSBERG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13857-2022</t>
        </is>
      </c>
      <c r="B2284" s="1" t="n">
        <v>44649</v>
      </c>
      <c r="C2284" s="1" t="n">
        <v>45952</v>
      </c>
      <c r="D2284" t="inlineStr">
        <is>
          <t>ÖREBRO LÄN</t>
        </is>
      </c>
      <c r="E2284" t="inlineStr">
        <is>
          <t>ÖREBRO</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17243-2024</t>
        </is>
      </c>
      <c r="B2285" s="1" t="n">
        <v>45414</v>
      </c>
      <c r="C2285" s="1" t="n">
        <v>45952</v>
      </c>
      <c r="D2285" t="inlineStr">
        <is>
          <t>ÖREBRO LÄN</t>
        </is>
      </c>
      <c r="E2285" t="inlineStr">
        <is>
          <t>KARLSKOGA</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11888-2025</t>
        </is>
      </c>
      <c r="B2286" s="1" t="n">
        <v>45728.45688657407</v>
      </c>
      <c r="C2286" s="1" t="n">
        <v>45952</v>
      </c>
      <c r="D2286" t="inlineStr">
        <is>
          <t>ÖREBRO LÄN</t>
        </is>
      </c>
      <c r="E2286" t="inlineStr">
        <is>
          <t>NORA</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67843-2021</t>
        </is>
      </c>
      <c r="B2287" s="1" t="n">
        <v>44525.47178240741</v>
      </c>
      <c r="C2287" s="1" t="n">
        <v>45952</v>
      </c>
      <c r="D2287" t="inlineStr">
        <is>
          <t>ÖREBRO LÄN</t>
        </is>
      </c>
      <c r="E2287" t="inlineStr">
        <is>
          <t>HÄLLEFORS</t>
        </is>
      </c>
      <c r="F2287" t="inlineStr">
        <is>
          <t>Bergvik skog väst AB</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6158-2025</t>
        </is>
      </c>
      <c r="B2288" s="1" t="n">
        <v>45698</v>
      </c>
      <c r="C2288" s="1" t="n">
        <v>45952</v>
      </c>
      <c r="D2288" t="inlineStr">
        <is>
          <t>ÖREBRO LÄN</t>
        </is>
      </c>
      <c r="E2288" t="inlineStr">
        <is>
          <t>LAXÅ</t>
        </is>
      </c>
      <c r="F2288" t="inlineStr">
        <is>
          <t>Sveaskog</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22802-2023</t>
        </is>
      </c>
      <c r="B2289" s="1" t="n">
        <v>45072</v>
      </c>
      <c r="C2289" s="1" t="n">
        <v>45952</v>
      </c>
      <c r="D2289" t="inlineStr">
        <is>
          <t>ÖREBRO LÄN</t>
        </is>
      </c>
      <c r="E2289" t="inlineStr">
        <is>
          <t>ASKERSUND</t>
        </is>
      </c>
      <c r="G2289" t="n">
        <v>4.1</v>
      </c>
      <c r="H2289" t="n">
        <v>0</v>
      </c>
      <c r="I2289" t="n">
        <v>0</v>
      </c>
      <c r="J2289" t="n">
        <v>0</v>
      </c>
      <c r="K2289" t="n">
        <v>0</v>
      </c>
      <c r="L2289" t="n">
        <v>0</v>
      </c>
      <c r="M2289" t="n">
        <v>0</v>
      </c>
      <c r="N2289" t="n">
        <v>0</v>
      </c>
      <c r="O2289" t="n">
        <v>0</v>
      </c>
      <c r="P2289" t="n">
        <v>0</v>
      </c>
      <c r="Q2289" t="n">
        <v>0</v>
      </c>
      <c r="R2289" s="2" t="inlineStr"/>
    </row>
    <row r="2290" ht="15" customHeight="1">
      <c r="A2290" t="inlineStr">
        <is>
          <t>A 14353-2024</t>
        </is>
      </c>
      <c r="B2290" s="1" t="n">
        <v>45393.83645833333</v>
      </c>
      <c r="C2290" s="1" t="n">
        <v>45952</v>
      </c>
      <c r="D2290" t="inlineStr">
        <is>
          <t>ÖREBRO LÄN</t>
        </is>
      </c>
      <c r="E2290" t="inlineStr">
        <is>
          <t>LEKEBERG</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22804-2023</t>
        </is>
      </c>
      <c r="B2291" s="1" t="n">
        <v>45072.39223379629</v>
      </c>
      <c r="C2291" s="1" t="n">
        <v>45952</v>
      </c>
      <c r="D2291" t="inlineStr">
        <is>
          <t>ÖREBRO LÄN</t>
        </is>
      </c>
      <c r="E2291" t="inlineStr">
        <is>
          <t>ASKERSUND</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55692-2023</t>
        </is>
      </c>
      <c r="B2292" s="1" t="n">
        <v>45239</v>
      </c>
      <c r="C2292" s="1" t="n">
        <v>45952</v>
      </c>
      <c r="D2292" t="inlineStr">
        <is>
          <t>ÖREBRO LÄN</t>
        </is>
      </c>
      <c r="E2292" t="inlineStr">
        <is>
          <t>ÖREBRO</t>
        </is>
      </c>
      <c r="F2292" t="inlineStr">
        <is>
          <t>Övriga Aktiebolag</t>
        </is>
      </c>
      <c r="G2292" t="n">
        <v>0.4</v>
      </c>
      <c r="H2292" t="n">
        <v>0</v>
      </c>
      <c r="I2292" t="n">
        <v>0</v>
      </c>
      <c r="J2292" t="n">
        <v>0</v>
      </c>
      <c r="K2292" t="n">
        <v>0</v>
      </c>
      <c r="L2292" t="n">
        <v>0</v>
      </c>
      <c r="M2292" t="n">
        <v>0</v>
      </c>
      <c r="N2292" t="n">
        <v>0</v>
      </c>
      <c r="O2292" t="n">
        <v>0</v>
      </c>
      <c r="P2292" t="n">
        <v>0</v>
      </c>
      <c r="Q2292" t="n">
        <v>0</v>
      </c>
      <c r="R2292" s="2" t="inlineStr"/>
    </row>
    <row r="2293" ht="15" customHeight="1">
      <c r="A2293" t="inlineStr">
        <is>
          <t>A 36635-2023</t>
        </is>
      </c>
      <c r="B2293" s="1" t="n">
        <v>45153</v>
      </c>
      <c r="C2293" s="1" t="n">
        <v>45952</v>
      </c>
      <c r="D2293" t="inlineStr">
        <is>
          <t>ÖREBRO LÄN</t>
        </is>
      </c>
      <c r="E2293" t="inlineStr">
        <is>
          <t>ÖREBRO</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916-2025</t>
        </is>
      </c>
      <c r="B2294" s="1" t="n">
        <v>45664</v>
      </c>
      <c r="C2294" s="1" t="n">
        <v>45952</v>
      </c>
      <c r="D2294" t="inlineStr">
        <is>
          <t>ÖREBRO LÄN</t>
        </is>
      </c>
      <c r="E2294" t="inlineStr">
        <is>
          <t>ASKERSUND</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919-2025</t>
        </is>
      </c>
      <c r="B2295" s="1" t="n">
        <v>45664</v>
      </c>
      <c r="C2295" s="1" t="n">
        <v>45952</v>
      </c>
      <c r="D2295" t="inlineStr">
        <is>
          <t>ÖREBRO LÄN</t>
        </is>
      </c>
      <c r="E2295" t="inlineStr">
        <is>
          <t>ASKERSUND</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13585-2024</t>
        </is>
      </c>
      <c r="B2296" s="1" t="n">
        <v>45389.85309027778</v>
      </c>
      <c r="C2296" s="1" t="n">
        <v>45952</v>
      </c>
      <c r="D2296" t="inlineStr">
        <is>
          <t>ÖREBRO LÄN</t>
        </is>
      </c>
      <c r="E2296" t="inlineStr">
        <is>
          <t>NORA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12019-2025</t>
        </is>
      </c>
      <c r="B2297" s="1" t="n">
        <v>45728.62653935186</v>
      </c>
      <c r="C2297" s="1" t="n">
        <v>45952</v>
      </c>
      <c r="D2297" t="inlineStr">
        <is>
          <t>ÖREBRO LÄN</t>
        </is>
      </c>
      <c r="E2297" t="inlineStr">
        <is>
          <t>HALLSBERG</t>
        </is>
      </c>
      <c r="F2297" t="inlineStr">
        <is>
          <t>Sveaskog</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6821-2023</t>
        </is>
      </c>
      <c r="B2298" s="1" t="n">
        <v>44967.39028935185</v>
      </c>
      <c r="C2298" s="1" t="n">
        <v>45952</v>
      </c>
      <c r="D2298" t="inlineStr">
        <is>
          <t>ÖREBRO LÄN</t>
        </is>
      </c>
      <c r="E2298" t="inlineStr">
        <is>
          <t>ASKERSUND</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7492-2024</t>
        </is>
      </c>
      <c r="B2299" s="1" t="n">
        <v>45346.78131944445</v>
      </c>
      <c r="C2299" s="1" t="n">
        <v>45952</v>
      </c>
      <c r="D2299" t="inlineStr">
        <is>
          <t>ÖREBRO LÄN</t>
        </is>
      </c>
      <c r="E2299" t="inlineStr">
        <is>
          <t>HALLSBERG</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30592-2024</t>
        </is>
      </c>
      <c r="B2300" s="1" t="n">
        <v>45493.31666666667</v>
      </c>
      <c r="C2300" s="1" t="n">
        <v>45952</v>
      </c>
      <c r="D2300" t="inlineStr">
        <is>
          <t>ÖREBRO LÄN</t>
        </is>
      </c>
      <c r="E2300" t="inlineStr">
        <is>
          <t>HÄLLEFORS</t>
        </is>
      </c>
      <c r="G2300" t="n">
        <v>7.1</v>
      </c>
      <c r="H2300" t="n">
        <v>0</v>
      </c>
      <c r="I2300" t="n">
        <v>0</v>
      </c>
      <c r="J2300" t="n">
        <v>0</v>
      </c>
      <c r="K2300" t="n">
        <v>0</v>
      </c>
      <c r="L2300" t="n">
        <v>0</v>
      </c>
      <c r="M2300" t="n">
        <v>0</v>
      </c>
      <c r="N2300" t="n">
        <v>0</v>
      </c>
      <c r="O2300" t="n">
        <v>0</v>
      </c>
      <c r="P2300" t="n">
        <v>0</v>
      </c>
      <c r="Q2300" t="n">
        <v>0</v>
      </c>
      <c r="R2300" s="2" t="inlineStr"/>
    </row>
    <row r="2301" ht="15" customHeight="1">
      <c r="A2301" t="inlineStr">
        <is>
          <t>A 46987-2023</t>
        </is>
      </c>
      <c r="B2301" s="1" t="n">
        <v>45201</v>
      </c>
      <c r="C2301" s="1" t="n">
        <v>45952</v>
      </c>
      <c r="D2301" t="inlineStr">
        <is>
          <t>ÖREBRO LÄN</t>
        </is>
      </c>
      <c r="E2301" t="inlineStr">
        <is>
          <t>HÄLLEFORS</t>
        </is>
      </c>
      <c r="F2301" t="inlineStr">
        <is>
          <t>Bergvik skog väst AB</t>
        </is>
      </c>
      <c r="G2301" t="n">
        <v>3.4</v>
      </c>
      <c r="H2301" t="n">
        <v>0</v>
      </c>
      <c r="I2301" t="n">
        <v>0</v>
      </c>
      <c r="J2301" t="n">
        <v>0</v>
      </c>
      <c r="K2301" t="n">
        <v>0</v>
      </c>
      <c r="L2301" t="n">
        <v>0</v>
      </c>
      <c r="M2301" t="n">
        <v>0</v>
      </c>
      <c r="N2301" t="n">
        <v>0</v>
      </c>
      <c r="O2301" t="n">
        <v>0</v>
      </c>
      <c r="P2301" t="n">
        <v>0</v>
      </c>
      <c r="Q2301" t="n">
        <v>0</v>
      </c>
      <c r="R2301" s="2" t="inlineStr"/>
    </row>
    <row r="2302" ht="15" customHeight="1">
      <c r="A2302" t="inlineStr">
        <is>
          <t>A 32321-2023</t>
        </is>
      </c>
      <c r="B2302" s="1" t="n">
        <v>45120</v>
      </c>
      <c r="C2302" s="1" t="n">
        <v>45952</v>
      </c>
      <c r="D2302" t="inlineStr">
        <is>
          <t>ÖREBRO LÄN</t>
        </is>
      </c>
      <c r="E2302" t="inlineStr">
        <is>
          <t>ÖREBRO</t>
        </is>
      </c>
      <c r="G2302" t="n">
        <v>3.4</v>
      </c>
      <c r="H2302" t="n">
        <v>0</v>
      </c>
      <c r="I2302" t="n">
        <v>0</v>
      </c>
      <c r="J2302" t="n">
        <v>0</v>
      </c>
      <c r="K2302" t="n">
        <v>0</v>
      </c>
      <c r="L2302" t="n">
        <v>0</v>
      </c>
      <c r="M2302" t="n">
        <v>0</v>
      </c>
      <c r="N2302" t="n">
        <v>0</v>
      </c>
      <c r="O2302" t="n">
        <v>0</v>
      </c>
      <c r="P2302" t="n">
        <v>0</v>
      </c>
      <c r="Q2302" t="n">
        <v>0</v>
      </c>
      <c r="R2302" s="2" t="inlineStr"/>
    </row>
    <row r="2303" ht="15" customHeight="1">
      <c r="A2303" t="inlineStr">
        <is>
          <t>A 38871-2024</t>
        </is>
      </c>
      <c r="B2303" s="1" t="n">
        <v>45547.64211805556</v>
      </c>
      <c r="C2303" s="1" t="n">
        <v>45952</v>
      </c>
      <c r="D2303" t="inlineStr">
        <is>
          <t>ÖREBRO LÄN</t>
        </is>
      </c>
      <c r="E2303" t="inlineStr">
        <is>
          <t>KUMLA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15892-2025</t>
        </is>
      </c>
      <c r="B2304" s="1" t="n">
        <v>45749</v>
      </c>
      <c r="C2304" s="1" t="n">
        <v>45952</v>
      </c>
      <c r="D2304" t="inlineStr">
        <is>
          <t>ÖREBRO LÄN</t>
        </is>
      </c>
      <c r="E2304" t="inlineStr">
        <is>
          <t>LINDESBERG</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60685-2021</t>
        </is>
      </c>
      <c r="B2305" s="1" t="n">
        <v>44496</v>
      </c>
      <c r="C2305" s="1" t="n">
        <v>45952</v>
      </c>
      <c r="D2305" t="inlineStr">
        <is>
          <t>ÖREBRO LÄN</t>
        </is>
      </c>
      <c r="E2305" t="inlineStr">
        <is>
          <t>HALLSBERG</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23260-2024</t>
        </is>
      </c>
      <c r="B2306" s="1" t="n">
        <v>45453.36664351852</v>
      </c>
      <c r="C2306" s="1" t="n">
        <v>45952</v>
      </c>
      <c r="D2306" t="inlineStr">
        <is>
          <t>ÖREBRO LÄN</t>
        </is>
      </c>
      <c r="E2306" t="inlineStr">
        <is>
          <t>LINDESBERG</t>
        </is>
      </c>
      <c r="F2306" t="inlineStr">
        <is>
          <t>Sveaskog</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41696-2023</t>
        </is>
      </c>
      <c r="B2307" s="1" t="n">
        <v>45176</v>
      </c>
      <c r="C2307" s="1" t="n">
        <v>45952</v>
      </c>
      <c r="D2307" t="inlineStr">
        <is>
          <t>ÖREBRO LÄN</t>
        </is>
      </c>
      <c r="E2307" t="inlineStr">
        <is>
          <t>NORA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16109-2024</t>
        </is>
      </c>
      <c r="B2308" s="1" t="n">
        <v>45406.46753472222</v>
      </c>
      <c r="C2308" s="1" t="n">
        <v>45952</v>
      </c>
      <c r="D2308" t="inlineStr">
        <is>
          <t>ÖREBRO LÄN</t>
        </is>
      </c>
      <c r="E2308" t="inlineStr">
        <is>
          <t>NORA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10506-2025</t>
        </is>
      </c>
      <c r="B2309" s="1" t="n">
        <v>45721</v>
      </c>
      <c r="C2309" s="1" t="n">
        <v>45952</v>
      </c>
      <c r="D2309" t="inlineStr">
        <is>
          <t>ÖREBRO LÄN</t>
        </is>
      </c>
      <c r="E2309" t="inlineStr">
        <is>
          <t>KARLSKOGA</t>
        </is>
      </c>
      <c r="G2309" t="n">
        <v>3.1</v>
      </c>
      <c r="H2309" t="n">
        <v>0</v>
      </c>
      <c r="I2309" t="n">
        <v>0</v>
      </c>
      <c r="J2309" t="n">
        <v>0</v>
      </c>
      <c r="K2309" t="n">
        <v>0</v>
      </c>
      <c r="L2309" t="n">
        <v>0</v>
      </c>
      <c r="M2309" t="n">
        <v>0</v>
      </c>
      <c r="N2309" t="n">
        <v>0</v>
      </c>
      <c r="O2309" t="n">
        <v>0</v>
      </c>
      <c r="P2309" t="n">
        <v>0</v>
      </c>
      <c r="Q2309" t="n">
        <v>0</v>
      </c>
      <c r="R2309" s="2" t="inlineStr"/>
    </row>
    <row r="2310" ht="15" customHeight="1">
      <c r="A2310" t="inlineStr">
        <is>
          <t>A 46607-2021</t>
        </is>
      </c>
      <c r="B2310" s="1" t="n">
        <v>44445.55690972223</v>
      </c>
      <c r="C2310" s="1" t="n">
        <v>45952</v>
      </c>
      <c r="D2310" t="inlineStr">
        <is>
          <t>ÖREBRO LÄN</t>
        </is>
      </c>
      <c r="E2310" t="inlineStr">
        <is>
          <t>LINDESBERG</t>
        </is>
      </c>
      <c r="F2310" t="inlineStr">
        <is>
          <t>Sveaskog</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681-2024</t>
        </is>
      </c>
      <c r="B2311" s="1" t="n">
        <v>45300</v>
      </c>
      <c r="C2311" s="1" t="n">
        <v>45952</v>
      </c>
      <c r="D2311" t="inlineStr">
        <is>
          <t>ÖREBRO LÄN</t>
        </is>
      </c>
      <c r="E2311" t="inlineStr">
        <is>
          <t>ÖREBRO</t>
        </is>
      </c>
      <c r="G2311" t="n">
        <v>3.3</v>
      </c>
      <c r="H2311" t="n">
        <v>0</v>
      </c>
      <c r="I2311" t="n">
        <v>0</v>
      </c>
      <c r="J2311" t="n">
        <v>0</v>
      </c>
      <c r="K2311" t="n">
        <v>0</v>
      </c>
      <c r="L2311" t="n">
        <v>0</v>
      </c>
      <c r="M2311" t="n">
        <v>0</v>
      </c>
      <c r="N2311" t="n">
        <v>0</v>
      </c>
      <c r="O2311" t="n">
        <v>0</v>
      </c>
      <c r="P2311" t="n">
        <v>0</v>
      </c>
      <c r="Q2311" t="n">
        <v>0</v>
      </c>
      <c r="R2311" s="2" t="inlineStr"/>
    </row>
    <row r="2312" ht="15" customHeight="1">
      <c r="A2312" t="inlineStr">
        <is>
          <t>A 20930-2025</t>
        </is>
      </c>
      <c r="B2312" s="1" t="n">
        <v>45777.42628472222</v>
      </c>
      <c r="C2312" s="1" t="n">
        <v>45952</v>
      </c>
      <c r="D2312" t="inlineStr">
        <is>
          <t>ÖREBRO LÄN</t>
        </is>
      </c>
      <c r="E2312" t="inlineStr">
        <is>
          <t>LINDESBERG</t>
        </is>
      </c>
      <c r="F2312" t="inlineStr">
        <is>
          <t>Sveaskog</t>
        </is>
      </c>
      <c r="G2312" t="n">
        <v>3.9</v>
      </c>
      <c r="H2312" t="n">
        <v>0</v>
      </c>
      <c r="I2312" t="n">
        <v>0</v>
      </c>
      <c r="J2312" t="n">
        <v>0</v>
      </c>
      <c r="K2312" t="n">
        <v>0</v>
      </c>
      <c r="L2312" t="n">
        <v>0</v>
      </c>
      <c r="M2312" t="n">
        <v>0</v>
      </c>
      <c r="N2312" t="n">
        <v>0</v>
      </c>
      <c r="O2312" t="n">
        <v>0</v>
      </c>
      <c r="P2312" t="n">
        <v>0</v>
      </c>
      <c r="Q2312" t="n">
        <v>0</v>
      </c>
      <c r="R2312" s="2" t="inlineStr"/>
    </row>
    <row r="2313" ht="15" customHeight="1">
      <c r="A2313" t="inlineStr">
        <is>
          <t>A 20951-2025</t>
        </is>
      </c>
      <c r="B2313" s="1" t="n">
        <v>45777.43930555556</v>
      </c>
      <c r="C2313" s="1" t="n">
        <v>45952</v>
      </c>
      <c r="D2313" t="inlineStr">
        <is>
          <t>ÖREBRO LÄN</t>
        </is>
      </c>
      <c r="E2313" t="inlineStr">
        <is>
          <t>HÄLLEFORS</t>
        </is>
      </c>
      <c r="F2313" t="inlineStr">
        <is>
          <t>Kyrkan</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20923-2025</t>
        </is>
      </c>
      <c r="B2314" s="1" t="n">
        <v>45777.41673611111</v>
      </c>
      <c r="C2314" s="1" t="n">
        <v>45952</v>
      </c>
      <c r="D2314" t="inlineStr">
        <is>
          <t>ÖREBRO LÄN</t>
        </is>
      </c>
      <c r="E2314" t="inlineStr">
        <is>
          <t>LINDESBERG</t>
        </is>
      </c>
      <c r="F2314" t="inlineStr">
        <is>
          <t>Sveaskog</t>
        </is>
      </c>
      <c r="G2314" t="n">
        <v>10.3</v>
      </c>
      <c r="H2314" t="n">
        <v>0</v>
      </c>
      <c r="I2314" t="n">
        <v>0</v>
      </c>
      <c r="J2314" t="n">
        <v>0</v>
      </c>
      <c r="K2314" t="n">
        <v>0</v>
      </c>
      <c r="L2314" t="n">
        <v>0</v>
      </c>
      <c r="M2314" t="n">
        <v>0</v>
      </c>
      <c r="N2314" t="n">
        <v>0</v>
      </c>
      <c r="O2314" t="n">
        <v>0</v>
      </c>
      <c r="P2314" t="n">
        <v>0</v>
      </c>
      <c r="Q2314" t="n">
        <v>0</v>
      </c>
      <c r="R2314" s="2" t="inlineStr"/>
    </row>
    <row r="2315" ht="15" customHeight="1">
      <c r="A2315" t="inlineStr">
        <is>
          <t>A 20670-2025</t>
        </is>
      </c>
      <c r="B2315" s="1" t="n">
        <v>45776.43351851852</v>
      </c>
      <c r="C2315" s="1" t="n">
        <v>45952</v>
      </c>
      <c r="D2315" t="inlineStr">
        <is>
          <t>ÖREBRO LÄN</t>
        </is>
      </c>
      <c r="E2315" t="inlineStr">
        <is>
          <t>HÄLLEFORS</t>
        </is>
      </c>
      <c r="F2315" t="inlineStr">
        <is>
          <t>Bergvik skog väst AB</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21045-2025</t>
        </is>
      </c>
      <c r="B2316" s="1" t="n">
        <v>45777.55422453704</v>
      </c>
      <c r="C2316" s="1" t="n">
        <v>45952</v>
      </c>
      <c r="D2316" t="inlineStr">
        <is>
          <t>ÖREBRO LÄN</t>
        </is>
      </c>
      <c r="E2316" t="inlineStr">
        <is>
          <t>ASKERSUND</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19177-2023</t>
        </is>
      </c>
      <c r="B2317" s="1" t="n">
        <v>45048</v>
      </c>
      <c r="C2317" s="1" t="n">
        <v>45952</v>
      </c>
      <c r="D2317" t="inlineStr">
        <is>
          <t>ÖREBRO LÄN</t>
        </is>
      </c>
      <c r="E2317" t="inlineStr">
        <is>
          <t>LAXÅ</t>
        </is>
      </c>
      <c r="F2317" t="inlineStr">
        <is>
          <t>Sveaskog</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6779-2025</t>
        </is>
      </c>
      <c r="B2318" s="1" t="n">
        <v>45700.64820601852</v>
      </c>
      <c r="C2318" s="1" t="n">
        <v>45952</v>
      </c>
      <c r="D2318" t="inlineStr">
        <is>
          <t>ÖREBRO LÄN</t>
        </is>
      </c>
      <c r="E2318" t="inlineStr">
        <is>
          <t>HALLSBERG</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6181-2025</t>
        </is>
      </c>
      <c r="B2319" s="1" t="n">
        <v>45698</v>
      </c>
      <c r="C2319" s="1" t="n">
        <v>45952</v>
      </c>
      <c r="D2319" t="inlineStr">
        <is>
          <t>ÖREBRO LÄN</t>
        </is>
      </c>
      <c r="E2319" t="inlineStr">
        <is>
          <t>LINDESBERG</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16682-2024</t>
        </is>
      </c>
      <c r="B2320" s="1" t="n">
        <v>45408.69633101852</v>
      </c>
      <c r="C2320" s="1" t="n">
        <v>45952</v>
      </c>
      <c r="D2320" t="inlineStr">
        <is>
          <t>ÖREBRO LÄN</t>
        </is>
      </c>
      <c r="E2320" t="inlineStr">
        <is>
          <t>LAXÅ</t>
        </is>
      </c>
      <c r="F2320" t="inlineStr">
        <is>
          <t>Allmännings- och besparingsskogar</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29138-2022</t>
        </is>
      </c>
      <c r="B2321" s="1" t="n">
        <v>44750</v>
      </c>
      <c r="C2321" s="1" t="n">
        <v>45952</v>
      </c>
      <c r="D2321" t="inlineStr">
        <is>
          <t>ÖREBRO LÄN</t>
        </is>
      </c>
      <c r="E2321" t="inlineStr">
        <is>
          <t>ÖREBRO</t>
        </is>
      </c>
      <c r="G2321" t="n">
        <v>3.3</v>
      </c>
      <c r="H2321" t="n">
        <v>0</v>
      </c>
      <c r="I2321" t="n">
        <v>0</v>
      </c>
      <c r="J2321" t="n">
        <v>0</v>
      </c>
      <c r="K2321" t="n">
        <v>0</v>
      </c>
      <c r="L2321" t="n">
        <v>0</v>
      </c>
      <c r="M2321" t="n">
        <v>0</v>
      </c>
      <c r="N2321" t="n">
        <v>0</v>
      </c>
      <c r="O2321" t="n">
        <v>0</v>
      </c>
      <c r="P2321" t="n">
        <v>0</v>
      </c>
      <c r="Q2321" t="n">
        <v>0</v>
      </c>
      <c r="R2321" s="2" t="inlineStr"/>
    </row>
    <row r="2322" ht="15" customHeight="1">
      <c r="A2322" t="inlineStr">
        <is>
          <t>A 29143-2022</t>
        </is>
      </c>
      <c r="B2322" s="1" t="n">
        <v>44750</v>
      </c>
      <c r="C2322" s="1" t="n">
        <v>45952</v>
      </c>
      <c r="D2322" t="inlineStr">
        <is>
          <t>ÖREBRO LÄN</t>
        </is>
      </c>
      <c r="E2322" t="inlineStr">
        <is>
          <t>ÖREBRO</t>
        </is>
      </c>
      <c r="G2322" t="n">
        <v>5.6</v>
      </c>
      <c r="H2322" t="n">
        <v>0</v>
      </c>
      <c r="I2322" t="n">
        <v>0</v>
      </c>
      <c r="J2322" t="n">
        <v>0</v>
      </c>
      <c r="K2322" t="n">
        <v>0</v>
      </c>
      <c r="L2322" t="n">
        <v>0</v>
      </c>
      <c r="M2322" t="n">
        <v>0</v>
      </c>
      <c r="N2322" t="n">
        <v>0</v>
      </c>
      <c r="O2322" t="n">
        <v>0</v>
      </c>
      <c r="P2322" t="n">
        <v>0</v>
      </c>
      <c r="Q2322" t="n">
        <v>0</v>
      </c>
      <c r="R2322" s="2" t="inlineStr"/>
    </row>
    <row r="2323" ht="15" customHeight="1">
      <c r="A2323" t="inlineStr">
        <is>
          <t>A 14234-2024</t>
        </is>
      </c>
      <c r="B2323" s="1" t="n">
        <v>45393.46980324074</v>
      </c>
      <c r="C2323" s="1" t="n">
        <v>45952</v>
      </c>
      <c r="D2323" t="inlineStr">
        <is>
          <t>ÖREBRO LÄN</t>
        </is>
      </c>
      <c r="E2323" t="inlineStr">
        <is>
          <t>ÖREBRO</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63863-2023</t>
        </is>
      </c>
      <c r="B2324" s="1" t="n">
        <v>45278.50163194445</v>
      </c>
      <c r="C2324" s="1" t="n">
        <v>45952</v>
      </c>
      <c r="D2324" t="inlineStr">
        <is>
          <t>ÖREBRO LÄN</t>
        </is>
      </c>
      <c r="E2324" t="inlineStr">
        <is>
          <t>KARLSKOGA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35243-2022</t>
        </is>
      </c>
      <c r="B2325" s="1" t="n">
        <v>44798</v>
      </c>
      <c r="C2325" s="1" t="n">
        <v>45952</v>
      </c>
      <c r="D2325" t="inlineStr">
        <is>
          <t>ÖREBRO LÄN</t>
        </is>
      </c>
      <c r="E2325" t="inlineStr">
        <is>
          <t>HÄLLEFORS</t>
        </is>
      </c>
      <c r="F2325" t="inlineStr">
        <is>
          <t>Bergvik skog väst AB</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27819-2025</t>
        </is>
      </c>
      <c r="B2326" s="1" t="n">
        <v>45817</v>
      </c>
      <c r="C2326" s="1" t="n">
        <v>45952</v>
      </c>
      <c r="D2326" t="inlineStr">
        <is>
          <t>ÖREBRO LÄN</t>
        </is>
      </c>
      <c r="E2326" t="inlineStr">
        <is>
          <t>ASKERSUND</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47030-2025</t>
        </is>
      </c>
      <c r="B2327" s="1" t="n">
        <v>45929.58944444444</v>
      </c>
      <c r="C2327" s="1" t="n">
        <v>45952</v>
      </c>
      <c r="D2327" t="inlineStr">
        <is>
          <t>ÖREBRO LÄN</t>
        </is>
      </c>
      <c r="E2327" t="inlineStr">
        <is>
          <t>NORA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12795-2025</t>
        </is>
      </c>
      <c r="B2328" s="1" t="n">
        <v>45733.60959490741</v>
      </c>
      <c r="C2328" s="1" t="n">
        <v>45952</v>
      </c>
      <c r="D2328" t="inlineStr">
        <is>
          <t>ÖREBRO LÄN</t>
        </is>
      </c>
      <c r="E2328" t="inlineStr">
        <is>
          <t>LINDESBERG</t>
        </is>
      </c>
      <c r="G2328" t="n">
        <v>10.8</v>
      </c>
      <c r="H2328" t="n">
        <v>0</v>
      </c>
      <c r="I2328" t="n">
        <v>0</v>
      </c>
      <c r="J2328" t="n">
        <v>0</v>
      </c>
      <c r="K2328" t="n">
        <v>0</v>
      </c>
      <c r="L2328" t="n">
        <v>0</v>
      </c>
      <c r="M2328" t="n">
        <v>0</v>
      </c>
      <c r="N2328" t="n">
        <v>0</v>
      </c>
      <c r="O2328" t="n">
        <v>0</v>
      </c>
      <c r="P2328" t="n">
        <v>0</v>
      </c>
      <c r="Q2328" t="n">
        <v>0</v>
      </c>
      <c r="R2328" s="2" t="inlineStr"/>
    </row>
    <row r="2329" ht="15" customHeight="1">
      <c r="A2329" t="inlineStr">
        <is>
          <t>A 25671-2024</t>
        </is>
      </c>
      <c r="B2329" s="1" t="n">
        <v>45463.72734953704</v>
      </c>
      <c r="C2329" s="1" t="n">
        <v>45952</v>
      </c>
      <c r="D2329" t="inlineStr">
        <is>
          <t>ÖREBRO LÄN</t>
        </is>
      </c>
      <c r="E2329" t="inlineStr">
        <is>
          <t>LJUSNARSBERG</t>
        </is>
      </c>
      <c r="G2329" t="n">
        <v>5.3</v>
      </c>
      <c r="H2329" t="n">
        <v>0</v>
      </c>
      <c r="I2329" t="n">
        <v>0</v>
      </c>
      <c r="J2329" t="n">
        <v>0</v>
      </c>
      <c r="K2329" t="n">
        <v>0</v>
      </c>
      <c r="L2329" t="n">
        <v>0</v>
      </c>
      <c r="M2329" t="n">
        <v>0</v>
      </c>
      <c r="N2329" t="n">
        <v>0</v>
      </c>
      <c r="O2329" t="n">
        <v>0</v>
      </c>
      <c r="P2329" t="n">
        <v>0</v>
      </c>
      <c r="Q2329" t="n">
        <v>0</v>
      </c>
      <c r="R2329" s="2" t="inlineStr"/>
    </row>
    <row r="2330" ht="15" customHeight="1">
      <c r="A2330" t="inlineStr">
        <is>
          <t>A 47069-2023</t>
        </is>
      </c>
      <c r="B2330" s="1" t="n">
        <v>45201</v>
      </c>
      <c r="C2330" s="1" t="n">
        <v>45952</v>
      </c>
      <c r="D2330" t="inlineStr">
        <is>
          <t>ÖREBRO LÄN</t>
        </is>
      </c>
      <c r="E2330" t="inlineStr">
        <is>
          <t>LINDESBERG</t>
        </is>
      </c>
      <c r="F2330" t="inlineStr">
        <is>
          <t>Sveaskog</t>
        </is>
      </c>
      <c r="G2330" t="n">
        <v>9.4</v>
      </c>
      <c r="H2330" t="n">
        <v>0</v>
      </c>
      <c r="I2330" t="n">
        <v>0</v>
      </c>
      <c r="J2330" t="n">
        <v>0</v>
      </c>
      <c r="K2330" t="n">
        <v>0</v>
      </c>
      <c r="L2330" t="n">
        <v>0</v>
      </c>
      <c r="M2330" t="n">
        <v>0</v>
      </c>
      <c r="N2330" t="n">
        <v>0</v>
      </c>
      <c r="O2330" t="n">
        <v>0</v>
      </c>
      <c r="P2330" t="n">
        <v>0</v>
      </c>
      <c r="Q2330" t="n">
        <v>0</v>
      </c>
      <c r="R2330" s="2" t="inlineStr"/>
    </row>
    <row r="2331" ht="15" customHeight="1">
      <c r="A2331" t="inlineStr">
        <is>
          <t>A 47074-2023</t>
        </is>
      </c>
      <c r="B2331" s="1" t="n">
        <v>45201.60283564815</v>
      </c>
      <c r="C2331" s="1" t="n">
        <v>45952</v>
      </c>
      <c r="D2331" t="inlineStr">
        <is>
          <t>ÖREBRO LÄN</t>
        </is>
      </c>
      <c r="E2331" t="inlineStr">
        <is>
          <t>LINDESBERG</t>
        </is>
      </c>
      <c r="F2331" t="inlineStr">
        <is>
          <t>Sveaskog</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20944-2025</t>
        </is>
      </c>
      <c r="B2332" s="1" t="n">
        <v>45777</v>
      </c>
      <c r="C2332" s="1" t="n">
        <v>45952</v>
      </c>
      <c r="D2332" t="inlineStr">
        <is>
          <t>ÖREBRO LÄN</t>
        </is>
      </c>
      <c r="E2332" t="inlineStr">
        <is>
          <t>LINDESBERG</t>
        </is>
      </c>
      <c r="F2332" t="inlineStr">
        <is>
          <t>Sveaskog</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20950-2025</t>
        </is>
      </c>
      <c r="B2333" s="1" t="n">
        <v>45777.43878472222</v>
      </c>
      <c r="C2333" s="1" t="n">
        <v>45952</v>
      </c>
      <c r="D2333" t="inlineStr">
        <is>
          <t>ÖREBRO LÄN</t>
        </is>
      </c>
      <c r="E2333" t="inlineStr">
        <is>
          <t>LINDESBERG</t>
        </is>
      </c>
      <c r="F2333" t="inlineStr">
        <is>
          <t>Sveaskog</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56389-2020</t>
        </is>
      </c>
      <c r="B2334" s="1" t="n">
        <v>44136</v>
      </c>
      <c r="C2334" s="1" t="n">
        <v>45952</v>
      </c>
      <c r="D2334" t="inlineStr">
        <is>
          <t>ÖREBRO LÄN</t>
        </is>
      </c>
      <c r="E2334" t="inlineStr">
        <is>
          <t>ASKERSUND</t>
        </is>
      </c>
      <c r="F2334" t="inlineStr">
        <is>
          <t>Sveaskog</t>
        </is>
      </c>
      <c r="G2334" t="n">
        <v>5.7</v>
      </c>
      <c r="H2334" t="n">
        <v>0</v>
      </c>
      <c r="I2334" t="n">
        <v>0</v>
      </c>
      <c r="J2334" t="n">
        <v>0</v>
      </c>
      <c r="K2334" t="n">
        <v>0</v>
      </c>
      <c r="L2334" t="n">
        <v>0</v>
      </c>
      <c r="M2334" t="n">
        <v>0</v>
      </c>
      <c r="N2334" t="n">
        <v>0</v>
      </c>
      <c r="O2334" t="n">
        <v>0</v>
      </c>
      <c r="P2334" t="n">
        <v>0</v>
      </c>
      <c r="Q2334" t="n">
        <v>0</v>
      </c>
      <c r="R2334" s="2" t="inlineStr"/>
    </row>
    <row r="2335" ht="15" customHeight="1">
      <c r="A2335" t="inlineStr">
        <is>
          <t>A 4997-2024</t>
        </is>
      </c>
      <c r="B2335" s="1" t="n">
        <v>45329</v>
      </c>
      <c r="C2335" s="1" t="n">
        <v>45952</v>
      </c>
      <c r="D2335" t="inlineStr">
        <is>
          <t>ÖREBRO LÄN</t>
        </is>
      </c>
      <c r="E2335" t="inlineStr">
        <is>
          <t>LINDESBERG</t>
        </is>
      </c>
      <c r="F2335" t="inlineStr">
        <is>
          <t>BillerudKorsnäs AB</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20724-2025</t>
        </is>
      </c>
      <c r="B2336" s="1" t="n">
        <v>45776.51016203704</v>
      </c>
      <c r="C2336" s="1" t="n">
        <v>45952</v>
      </c>
      <c r="D2336" t="inlineStr">
        <is>
          <t>ÖREBRO LÄN</t>
        </is>
      </c>
      <c r="E2336" t="inlineStr">
        <is>
          <t>HALLSBERG</t>
        </is>
      </c>
      <c r="F2336" t="inlineStr">
        <is>
          <t>Sveaskog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33284-2024</t>
        </is>
      </c>
      <c r="B2337" s="1" t="n">
        <v>45518.71721064814</v>
      </c>
      <c r="C2337" s="1" t="n">
        <v>45952</v>
      </c>
      <c r="D2337" t="inlineStr">
        <is>
          <t>ÖREBRO LÄN</t>
        </is>
      </c>
      <c r="E2337" t="inlineStr">
        <is>
          <t>LINDESBERG</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38824-2025</t>
        </is>
      </c>
      <c r="B2338" s="1" t="n">
        <v>45887</v>
      </c>
      <c r="C2338" s="1" t="n">
        <v>45952</v>
      </c>
      <c r="D2338" t="inlineStr">
        <is>
          <t>ÖREBRO LÄN</t>
        </is>
      </c>
      <c r="E2338" t="inlineStr">
        <is>
          <t>ASKERSUND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12183-2025</t>
        </is>
      </c>
      <c r="B2339" s="1" t="n">
        <v>45729.46353009259</v>
      </c>
      <c r="C2339" s="1" t="n">
        <v>45952</v>
      </c>
      <c r="D2339" t="inlineStr">
        <is>
          <t>ÖREBRO LÄN</t>
        </is>
      </c>
      <c r="E2339" t="inlineStr">
        <is>
          <t>NORA</t>
        </is>
      </c>
      <c r="G2339" t="n">
        <v>3.4</v>
      </c>
      <c r="H2339" t="n">
        <v>0</v>
      </c>
      <c r="I2339" t="n">
        <v>0</v>
      </c>
      <c r="J2339" t="n">
        <v>0</v>
      </c>
      <c r="K2339" t="n">
        <v>0</v>
      </c>
      <c r="L2339" t="n">
        <v>0</v>
      </c>
      <c r="M2339" t="n">
        <v>0</v>
      </c>
      <c r="N2339" t="n">
        <v>0</v>
      </c>
      <c r="O2339" t="n">
        <v>0</v>
      </c>
      <c r="P2339" t="n">
        <v>0</v>
      </c>
      <c r="Q2339" t="n">
        <v>0</v>
      </c>
      <c r="R2339" s="2" t="inlineStr"/>
    </row>
    <row r="2340" ht="15" customHeight="1">
      <c r="A2340" t="inlineStr">
        <is>
          <t>A 38696-2024</t>
        </is>
      </c>
      <c r="B2340" s="1" t="n">
        <v>45547.36590277778</v>
      </c>
      <c r="C2340" s="1" t="n">
        <v>45952</v>
      </c>
      <c r="D2340" t="inlineStr">
        <is>
          <t>ÖREBRO LÄN</t>
        </is>
      </c>
      <c r="E2340" t="inlineStr">
        <is>
          <t>LINDESBERG</t>
        </is>
      </c>
      <c r="G2340" t="n">
        <v>2</v>
      </c>
      <c r="H2340" t="n">
        <v>0</v>
      </c>
      <c r="I2340" t="n">
        <v>0</v>
      </c>
      <c r="J2340" t="n">
        <v>0</v>
      </c>
      <c r="K2340" t="n">
        <v>0</v>
      </c>
      <c r="L2340" t="n">
        <v>0</v>
      </c>
      <c r="M2340" t="n">
        <v>0</v>
      </c>
      <c r="N2340" t="n">
        <v>0</v>
      </c>
      <c r="O2340" t="n">
        <v>0</v>
      </c>
      <c r="P2340" t="n">
        <v>0</v>
      </c>
      <c r="Q2340" t="n">
        <v>0</v>
      </c>
      <c r="R2340" s="2" t="inlineStr"/>
    </row>
    <row r="2341" ht="15" customHeight="1">
      <c r="A2341" t="inlineStr">
        <is>
          <t>A 15866-2022</t>
        </is>
      </c>
      <c r="B2341" s="1" t="n">
        <v>44664</v>
      </c>
      <c r="C2341" s="1" t="n">
        <v>45952</v>
      </c>
      <c r="D2341" t="inlineStr">
        <is>
          <t>ÖREBRO LÄN</t>
        </is>
      </c>
      <c r="E2341" t="inlineStr">
        <is>
          <t>ÖREBRO</t>
        </is>
      </c>
      <c r="G2341" t="n">
        <v>4</v>
      </c>
      <c r="H2341" t="n">
        <v>0</v>
      </c>
      <c r="I2341" t="n">
        <v>0</v>
      </c>
      <c r="J2341" t="n">
        <v>0</v>
      </c>
      <c r="K2341" t="n">
        <v>0</v>
      </c>
      <c r="L2341" t="n">
        <v>0</v>
      </c>
      <c r="M2341" t="n">
        <v>0</v>
      </c>
      <c r="N2341" t="n">
        <v>0</v>
      </c>
      <c r="O2341" t="n">
        <v>0</v>
      </c>
      <c r="P2341" t="n">
        <v>0</v>
      </c>
      <c r="Q2341" t="n">
        <v>0</v>
      </c>
      <c r="R2341" s="2" t="inlineStr"/>
    </row>
    <row r="2342" ht="15" customHeight="1">
      <c r="A2342" t="inlineStr">
        <is>
          <t>A 41095-2021</t>
        </is>
      </c>
      <c r="B2342" s="1" t="n">
        <v>44422</v>
      </c>
      <c r="C2342" s="1" t="n">
        <v>45952</v>
      </c>
      <c r="D2342" t="inlineStr">
        <is>
          <t>ÖREBRO LÄN</t>
        </is>
      </c>
      <c r="E2342" t="inlineStr">
        <is>
          <t>ASKERSUND</t>
        </is>
      </c>
      <c r="F2342" t="inlineStr">
        <is>
          <t>Sveaskog</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11016-2025</t>
        </is>
      </c>
      <c r="B2343" s="1" t="n">
        <v>45723.46458333333</v>
      </c>
      <c r="C2343" s="1" t="n">
        <v>45952</v>
      </c>
      <c r="D2343" t="inlineStr">
        <is>
          <t>ÖREBRO LÄN</t>
        </is>
      </c>
      <c r="E2343" t="inlineStr">
        <is>
          <t>HALLSBERG</t>
        </is>
      </c>
      <c r="G2343" t="n">
        <v>4.3</v>
      </c>
      <c r="H2343" t="n">
        <v>0</v>
      </c>
      <c r="I2343" t="n">
        <v>0</v>
      </c>
      <c r="J2343" t="n">
        <v>0</v>
      </c>
      <c r="K2343" t="n">
        <v>0</v>
      </c>
      <c r="L2343" t="n">
        <v>0</v>
      </c>
      <c r="M2343" t="n">
        <v>0</v>
      </c>
      <c r="N2343" t="n">
        <v>0</v>
      </c>
      <c r="O2343" t="n">
        <v>0</v>
      </c>
      <c r="P2343" t="n">
        <v>0</v>
      </c>
      <c r="Q2343" t="n">
        <v>0</v>
      </c>
      <c r="R2343" s="2" t="inlineStr"/>
    </row>
    <row r="2344" ht="15" customHeight="1">
      <c r="A2344" t="inlineStr">
        <is>
          <t>A 57367-2021</t>
        </is>
      </c>
      <c r="B2344" s="1" t="n">
        <v>44483</v>
      </c>
      <c r="C2344" s="1" t="n">
        <v>45952</v>
      </c>
      <c r="D2344" t="inlineStr">
        <is>
          <t>ÖREBRO LÄN</t>
        </is>
      </c>
      <c r="E2344" t="inlineStr">
        <is>
          <t>LAXÅ</t>
        </is>
      </c>
      <c r="F2344" t="inlineStr">
        <is>
          <t>Sveaskog</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8612-2024</t>
        </is>
      </c>
      <c r="B2345" s="1" t="n">
        <v>45355.70009259259</v>
      </c>
      <c r="C2345" s="1" t="n">
        <v>45952</v>
      </c>
      <c r="D2345" t="inlineStr">
        <is>
          <t>ÖREBRO LÄN</t>
        </is>
      </c>
      <c r="E2345" t="inlineStr">
        <is>
          <t>LINDESBERG</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50237-2024</t>
        </is>
      </c>
      <c r="B2346" s="1" t="n">
        <v>45600</v>
      </c>
      <c r="C2346" s="1" t="n">
        <v>45952</v>
      </c>
      <c r="D2346" t="inlineStr">
        <is>
          <t>ÖREBRO LÄN</t>
        </is>
      </c>
      <c r="E2346" t="inlineStr">
        <is>
          <t>HALLSBERG</t>
        </is>
      </c>
      <c r="F2346" t="inlineStr">
        <is>
          <t>Sveaskog</t>
        </is>
      </c>
      <c r="G2346" t="n">
        <v>3</v>
      </c>
      <c r="H2346" t="n">
        <v>0</v>
      </c>
      <c r="I2346" t="n">
        <v>0</v>
      </c>
      <c r="J2346" t="n">
        <v>0</v>
      </c>
      <c r="K2346" t="n">
        <v>0</v>
      </c>
      <c r="L2346" t="n">
        <v>0</v>
      </c>
      <c r="M2346" t="n">
        <v>0</v>
      </c>
      <c r="N2346" t="n">
        <v>0</v>
      </c>
      <c r="O2346" t="n">
        <v>0</v>
      </c>
      <c r="P2346" t="n">
        <v>0</v>
      </c>
      <c r="Q2346" t="n">
        <v>0</v>
      </c>
      <c r="R2346" s="2" t="inlineStr"/>
    </row>
    <row r="2347" ht="15" customHeight="1">
      <c r="A2347" t="inlineStr">
        <is>
          <t>A 4557-2023</t>
        </is>
      </c>
      <c r="B2347" s="1" t="n">
        <v>44956.6655787037</v>
      </c>
      <c r="C2347" s="1" t="n">
        <v>45952</v>
      </c>
      <c r="D2347" t="inlineStr">
        <is>
          <t>ÖREBRO LÄN</t>
        </is>
      </c>
      <c r="E2347" t="inlineStr">
        <is>
          <t>ÖREBRO</t>
        </is>
      </c>
      <c r="G2347" t="n">
        <v>8.699999999999999</v>
      </c>
      <c r="H2347" t="n">
        <v>0</v>
      </c>
      <c r="I2347" t="n">
        <v>0</v>
      </c>
      <c r="J2347" t="n">
        <v>0</v>
      </c>
      <c r="K2347" t="n">
        <v>0</v>
      </c>
      <c r="L2347" t="n">
        <v>0</v>
      </c>
      <c r="M2347" t="n">
        <v>0</v>
      </c>
      <c r="N2347" t="n">
        <v>0</v>
      </c>
      <c r="O2347" t="n">
        <v>0</v>
      </c>
      <c r="P2347" t="n">
        <v>0</v>
      </c>
      <c r="Q2347" t="n">
        <v>0</v>
      </c>
      <c r="R2347" s="2" t="inlineStr"/>
    </row>
    <row r="2348" ht="15" customHeight="1">
      <c r="A2348" t="inlineStr">
        <is>
          <t>A 58534-2020</t>
        </is>
      </c>
      <c r="B2348" s="1" t="n">
        <v>44145</v>
      </c>
      <c r="C2348" s="1" t="n">
        <v>45952</v>
      </c>
      <c r="D2348" t="inlineStr">
        <is>
          <t>ÖREBRO LÄN</t>
        </is>
      </c>
      <c r="E2348" t="inlineStr">
        <is>
          <t>HÄLLEFORS</t>
        </is>
      </c>
      <c r="G2348" t="n">
        <v>3.7</v>
      </c>
      <c r="H2348" t="n">
        <v>0</v>
      </c>
      <c r="I2348" t="n">
        <v>0</v>
      </c>
      <c r="J2348" t="n">
        <v>0</v>
      </c>
      <c r="K2348" t="n">
        <v>0</v>
      </c>
      <c r="L2348" t="n">
        <v>0</v>
      </c>
      <c r="M2348" t="n">
        <v>0</v>
      </c>
      <c r="N2348" t="n">
        <v>0</v>
      </c>
      <c r="O2348" t="n">
        <v>0</v>
      </c>
      <c r="P2348" t="n">
        <v>0</v>
      </c>
      <c r="Q2348" t="n">
        <v>0</v>
      </c>
      <c r="R2348" s="2" t="inlineStr"/>
    </row>
    <row r="2349" ht="15" customHeight="1">
      <c r="A2349" t="inlineStr">
        <is>
          <t>A 7126-2025</t>
        </is>
      </c>
      <c r="B2349" s="1" t="n">
        <v>45702</v>
      </c>
      <c r="C2349" s="1" t="n">
        <v>45952</v>
      </c>
      <c r="D2349" t="inlineStr">
        <is>
          <t>ÖREBRO LÄN</t>
        </is>
      </c>
      <c r="E2349" t="inlineStr">
        <is>
          <t>LINDESBERG</t>
        </is>
      </c>
      <c r="G2349" t="n">
        <v>1.3</v>
      </c>
      <c r="H2349" t="n">
        <v>0</v>
      </c>
      <c r="I2349" t="n">
        <v>0</v>
      </c>
      <c r="J2349" t="n">
        <v>0</v>
      </c>
      <c r="K2349" t="n">
        <v>0</v>
      </c>
      <c r="L2349" t="n">
        <v>0</v>
      </c>
      <c r="M2349" t="n">
        <v>0</v>
      </c>
      <c r="N2349" t="n">
        <v>0</v>
      </c>
      <c r="O2349" t="n">
        <v>0</v>
      </c>
      <c r="P2349" t="n">
        <v>0</v>
      </c>
      <c r="Q2349" t="n">
        <v>0</v>
      </c>
      <c r="R2349" s="2" t="inlineStr"/>
    </row>
    <row r="2350" ht="15" customHeight="1">
      <c r="A2350" t="inlineStr">
        <is>
          <t>A 67861-2020</t>
        </is>
      </c>
      <c r="B2350" s="1" t="n">
        <v>44182</v>
      </c>
      <c r="C2350" s="1" t="n">
        <v>45952</v>
      </c>
      <c r="D2350" t="inlineStr">
        <is>
          <t>ÖREBRO LÄN</t>
        </is>
      </c>
      <c r="E2350" t="inlineStr">
        <is>
          <t>LAXÅ</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67863-2020</t>
        </is>
      </c>
      <c r="B2351" s="1" t="n">
        <v>44182</v>
      </c>
      <c r="C2351" s="1" t="n">
        <v>45952</v>
      </c>
      <c r="D2351" t="inlineStr">
        <is>
          <t>ÖREBRO LÄN</t>
        </is>
      </c>
      <c r="E2351" t="inlineStr">
        <is>
          <t>LAXÅ</t>
        </is>
      </c>
      <c r="F2351" t="inlineStr">
        <is>
          <t>Sveaskog</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67871-2020</t>
        </is>
      </c>
      <c r="B2352" s="1" t="n">
        <v>44182</v>
      </c>
      <c r="C2352" s="1" t="n">
        <v>45952</v>
      </c>
      <c r="D2352" t="inlineStr">
        <is>
          <t>ÖREBRO LÄN</t>
        </is>
      </c>
      <c r="E2352" t="inlineStr">
        <is>
          <t>LAXÅ</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12511-2025</t>
        </is>
      </c>
      <c r="B2353" s="1" t="n">
        <v>45730.6371412037</v>
      </c>
      <c r="C2353" s="1" t="n">
        <v>45952</v>
      </c>
      <c r="D2353" t="inlineStr">
        <is>
          <t>ÖREBRO LÄN</t>
        </is>
      </c>
      <c r="E2353" t="inlineStr">
        <is>
          <t>HÄLLEFORS</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12516-2025</t>
        </is>
      </c>
      <c r="B2354" s="1" t="n">
        <v>45730.65107638889</v>
      </c>
      <c r="C2354" s="1" t="n">
        <v>45952</v>
      </c>
      <c r="D2354" t="inlineStr">
        <is>
          <t>ÖREBRO LÄN</t>
        </is>
      </c>
      <c r="E2354" t="inlineStr">
        <is>
          <t>LEKEBERG</t>
        </is>
      </c>
      <c r="F2354" t="inlineStr">
        <is>
          <t>Allmännings- och besparingsskogar</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56270-2023</t>
        </is>
      </c>
      <c r="B2355" s="1" t="n">
        <v>45240</v>
      </c>
      <c r="C2355" s="1" t="n">
        <v>45952</v>
      </c>
      <c r="D2355" t="inlineStr">
        <is>
          <t>ÖREBRO LÄN</t>
        </is>
      </c>
      <c r="E2355" t="inlineStr">
        <is>
          <t>HALLSBERG</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56282-2023</t>
        </is>
      </c>
      <c r="B2356" s="1" t="n">
        <v>45241.82328703703</v>
      </c>
      <c r="C2356" s="1" t="n">
        <v>45952</v>
      </c>
      <c r="D2356" t="inlineStr">
        <is>
          <t>ÖREBRO LÄN</t>
        </is>
      </c>
      <c r="E2356" t="inlineStr">
        <is>
          <t>LEKEBERG</t>
        </is>
      </c>
      <c r="G2356" t="n">
        <v>6.8</v>
      </c>
      <c r="H2356" t="n">
        <v>0</v>
      </c>
      <c r="I2356" t="n">
        <v>0</v>
      </c>
      <c r="J2356" t="n">
        <v>0</v>
      </c>
      <c r="K2356" t="n">
        <v>0</v>
      </c>
      <c r="L2356" t="n">
        <v>0</v>
      </c>
      <c r="M2356" t="n">
        <v>0</v>
      </c>
      <c r="N2356" t="n">
        <v>0</v>
      </c>
      <c r="O2356" t="n">
        <v>0</v>
      </c>
      <c r="P2356" t="n">
        <v>0</v>
      </c>
      <c r="Q2356" t="n">
        <v>0</v>
      </c>
      <c r="R2356" s="2" t="inlineStr"/>
    </row>
    <row r="2357" ht="15" customHeight="1">
      <c r="A2357" t="inlineStr">
        <is>
          <t>A 19219-2023</t>
        </is>
      </c>
      <c r="B2357" s="1" t="n">
        <v>45048</v>
      </c>
      <c r="C2357" s="1" t="n">
        <v>45952</v>
      </c>
      <c r="D2357" t="inlineStr">
        <is>
          <t>ÖREBRO LÄN</t>
        </is>
      </c>
      <c r="E2357" t="inlineStr">
        <is>
          <t>LINDESBERG</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19754-2025</t>
        </is>
      </c>
      <c r="B2358" s="1" t="n">
        <v>45771.38807870371</v>
      </c>
      <c r="C2358" s="1" t="n">
        <v>45952</v>
      </c>
      <c r="D2358" t="inlineStr">
        <is>
          <t>ÖREBRO LÄN</t>
        </is>
      </c>
      <c r="E2358" t="inlineStr">
        <is>
          <t>LJUSNARSBERG</t>
        </is>
      </c>
      <c r="F2358" t="inlineStr">
        <is>
          <t>Sveaskog</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1742-2022</t>
        </is>
      </c>
      <c r="B2359" s="1" t="n">
        <v>44574.50425925926</v>
      </c>
      <c r="C2359" s="1" t="n">
        <v>45952</v>
      </c>
      <c r="D2359" t="inlineStr">
        <is>
          <t>ÖREBRO LÄN</t>
        </is>
      </c>
      <c r="E2359" t="inlineStr">
        <is>
          <t>LINDESBERG</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53558-2023</t>
        </is>
      </c>
      <c r="B2360" s="1" t="n">
        <v>45230.47266203703</v>
      </c>
      <c r="C2360" s="1" t="n">
        <v>45952</v>
      </c>
      <c r="D2360" t="inlineStr">
        <is>
          <t>ÖREBRO LÄN</t>
        </is>
      </c>
      <c r="E2360" t="inlineStr">
        <is>
          <t>ÖREBRO</t>
        </is>
      </c>
      <c r="F2360" t="inlineStr">
        <is>
          <t>Övriga Aktiebolag</t>
        </is>
      </c>
      <c r="G2360" t="n">
        <v>4.7</v>
      </c>
      <c r="H2360" t="n">
        <v>0</v>
      </c>
      <c r="I2360" t="n">
        <v>0</v>
      </c>
      <c r="J2360" t="n">
        <v>0</v>
      </c>
      <c r="K2360" t="n">
        <v>0</v>
      </c>
      <c r="L2360" t="n">
        <v>0</v>
      </c>
      <c r="M2360" t="n">
        <v>0</v>
      </c>
      <c r="N2360" t="n">
        <v>0</v>
      </c>
      <c r="O2360" t="n">
        <v>0</v>
      </c>
      <c r="P2360" t="n">
        <v>0</v>
      </c>
      <c r="Q2360" t="n">
        <v>0</v>
      </c>
      <c r="R2360" s="2" t="inlineStr"/>
    </row>
    <row r="2361" ht="15" customHeight="1">
      <c r="A2361" t="inlineStr">
        <is>
          <t>A 18981-2024</t>
        </is>
      </c>
      <c r="B2361" s="1" t="n">
        <v>45427.58246527778</v>
      </c>
      <c r="C2361" s="1" t="n">
        <v>45952</v>
      </c>
      <c r="D2361" t="inlineStr">
        <is>
          <t>ÖREBRO LÄN</t>
        </is>
      </c>
      <c r="E2361" t="inlineStr">
        <is>
          <t>ASKERSUND</t>
        </is>
      </c>
      <c r="F2361" t="inlineStr">
        <is>
          <t>Sveaskog</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46518-2023</t>
        </is>
      </c>
      <c r="B2362" s="1" t="n">
        <v>45197.72777777778</v>
      </c>
      <c r="C2362" s="1" t="n">
        <v>45952</v>
      </c>
      <c r="D2362" t="inlineStr">
        <is>
          <t>ÖREBRO LÄN</t>
        </is>
      </c>
      <c r="E2362" t="inlineStr">
        <is>
          <t>ÖREBRO</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37148-2023</t>
        </is>
      </c>
      <c r="B2363" s="1" t="n">
        <v>45155</v>
      </c>
      <c r="C2363" s="1" t="n">
        <v>45952</v>
      </c>
      <c r="D2363" t="inlineStr">
        <is>
          <t>ÖREBRO LÄN</t>
        </is>
      </c>
      <c r="E2363" t="inlineStr">
        <is>
          <t>LJUSNARSBERG</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12430-2023</t>
        </is>
      </c>
      <c r="B2364" s="1" t="n">
        <v>44998</v>
      </c>
      <c r="C2364" s="1" t="n">
        <v>45952</v>
      </c>
      <c r="D2364" t="inlineStr">
        <is>
          <t>ÖREBRO LÄN</t>
        </is>
      </c>
      <c r="E2364" t="inlineStr">
        <is>
          <t>LAXÅ</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53011-2023</t>
        </is>
      </c>
      <c r="B2365" s="1" t="n">
        <v>45226.65587962963</v>
      </c>
      <c r="C2365" s="1" t="n">
        <v>45952</v>
      </c>
      <c r="D2365" t="inlineStr">
        <is>
          <t>ÖREBRO LÄN</t>
        </is>
      </c>
      <c r="E2365" t="inlineStr">
        <is>
          <t>HALLSBERG</t>
        </is>
      </c>
      <c r="F2365" t="inlineStr">
        <is>
          <t>Sveaskog</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46410-2021</t>
        </is>
      </c>
      <c r="B2366" s="1" t="n">
        <v>44444</v>
      </c>
      <c r="C2366" s="1" t="n">
        <v>45952</v>
      </c>
      <c r="D2366" t="inlineStr">
        <is>
          <t>ÖREBRO LÄN</t>
        </is>
      </c>
      <c r="E2366" t="inlineStr">
        <is>
          <t>NORA</t>
        </is>
      </c>
      <c r="G2366" t="n">
        <v>2.6</v>
      </c>
      <c r="H2366" t="n">
        <v>0</v>
      </c>
      <c r="I2366" t="n">
        <v>0</v>
      </c>
      <c r="J2366" t="n">
        <v>0</v>
      </c>
      <c r="K2366" t="n">
        <v>0</v>
      </c>
      <c r="L2366" t="n">
        <v>0</v>
      </c>
      <c r="M2366" t="n">
        <v>0</v>
      </c>
      <c r="N2366" t="n">
        <v>0</v>
      </c>
      <c r="O2366" t="n">
        <v>0</v>
      </c>
      <c r="P2366" t="n">
        <v>0</v>
      </c>
      <c r="Q2366" t="n">
        <v>0</v>
      </c>
      <c r="R2366" s="2" t="inlineStr"/>
    </row>
    <row r="2367" ht="15" customHeight="1">
      <c r="A2367" t="inlineStr">
        <is>
          <t>A 195-2023</t>
        </is>
      </c>
      <c r="B2367" s="1" t="n">
        <v>44928</v>
      </c>
      <c r="C2367" s="1" t="n">
        <v>45952</v>
      </c>
      <c r="D2367" t="inlineStr">
        <is>
          <t>ÖREBRO LÄN</t>
        </is>
      </c>
      <c r="E2367" t="inlineStr">
        <is>
          <t>ASKERSUND</t>
        </is>
      </c>
      <c r="G2367" t="n">
        <v>2.3</v>
      </c>
      <c r="H2367" t="n">
        <v>0</v>
      </c>
      <c r="I2367" t="n">
        <v>0</v>
      </c>
      <c r="J2367" t="n">
        <v>0</v>
      </c>
      <c r="K2367" t="n">
        <v>0</v>
      </c>
      <c r="L2367" t="n">
        <v>0</v>
      </c>
      <c r="M2367" t="n">
        <v>0</v>
      </c>
      <c r="N2367" t="n">
        <v>0</v>
      </c>
      <c r="O2367" t="n">
        <v>0</v>
      </c>
      <c r="P2367" t="n">
        <v>0</v>
      </c>
      <c r="Q2367" t="n">
        <v>0</v>
      </c>
      <c r="R2367" s="2" t="inlineStr"/>
    </row>
    <row r="2368" ht="15" customHeight="1">
      <c r="A2368" t="inlineStr">
        <is>
          <t>A 20730-2025</t>
        </is>
      </c>
      <c r="B2368" s="1" t="n">
        <v>45776.51508101852</v>
      </c>
      <c r="C2368" s="1" t="n">
        <v>45952</v>
      </c>
      <c r="D2368" t="inlineStr">
        <is>
          <t>ÖREBRO LÄN</t>
        </is>
      </c>
      <c r="E2368" t="inlineStr">
        <is>
          <t>HALLSBERG</t>
        </is>
      </c>
      <c r="F2368" t="inlineStr">
        <is>
          <t>Sveaskog</t>
        </is>
      </c>
      <c r="G2368" t="n">
        <v>5.3</v>
      </c>
      <c r="H2368" t="n">
        <v>0</v>
      </c>
      <c r="I2368" t="n">
        <v>0</v>
      </c>
      <c r="J2368" t="n">
        <v>0</v>
      </c>
      <c r="K2368" t="n">
        <v>0</v>
      </c>
      <c r="L2368" t="n">
        <v>0</v>
      </c>
      <c r="M2368" t="n">
        <v>0</v>
      </c>
      <c r="N2368" t="n">
        <v>0</v>
      </c>
      <c r="O2368" t="n">
        <v>0</v>
      </c>
      <c r="P2368" t="n">
        <v>0</v>
      </c>
      <c r="Q2368" t="n">
        <v>0</v>
      </c>
      <c r="R2368" s="2" t="inlineStr"/>
    </row>
    <row r="2369" ht="15" customHeight="1">
      <c r="A2369" t="inlineStr">
        <is>
          <t>A 7692-2023</t>
        </is>
      </c>
      <c r="B2369" s="1" t="n">
        <v>44972.7762962963</v>
      </c>
      <c r="C2369" s="1" t="n">
        <v>45952</v>
      </c>
      <c r="D2369" t="inlineStr">
        <is>
          <t>ÖREBRO LÄN</t>
        </is>
      </c>
      <c r="E2369" t="inlineStr">
        <is>
          <t>ÖREBRO</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6240-2024</t>
        </is>
      </c>
      <c r="B2370" s="1" t="n">
        <v>45337</v>
      </c>
      <c r="C2370" s="1" t="n">
        <v>45952</v>
      </c>
      <c r="D2370" t="inlineStr">
        <is>
          <t>ÖREBRO LÄN</t>
        </is>
      </c>
      <c r="E2370" t="inlineStr">
        <is>
          <t>DEGERFORS</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17017-2023</t>
        </is>
      </c>
      <c r="B2371" s="1" t="n">
        <v>45034</v>
      </c>
      <c r="C2371" s="1" t="n">
        <v>45952</v>
      </c>
      <c r="D2371" t="inlineStr">
        <is>
          <t>ÖREBRO LÄN</t>
        </is>
      </c>
      <c r="E2371" t="inlineStr">
        <is>
          <t>HALLSBERG</t>
        </is>
      </c>
      <c r="G2371" t="n">
        <v>1.3</v>
      </c>
      <c r="H2371" t="n">
        <v>0</v>
      </c>
      <c r="I2371" t="n">
        <v>0</v>
      </c>
      <c r="J2371" t="n">
        <v>0</v>
      </c>
      <c r="K2371" t="n">
        <v>0</v>
      </c>
      <c r="L2371" t="n">
        <v>0</v>
      </c>
      <c r="M2371" t="n">
        <v>0</v>
      </c>
      <c r="N2371" t="n">
        <v>0</v>
      </c>
      <c r="O2371" t="n">
        <v>0</v>
      </c>
      <c r="P2371" t="n">
        <v>0</v>
      </c>
      <c r="Q2371" t="n">
        <v>0</v>
      </c>
      <c r="R2371" s="2" t="inlineStr"/>
    </row>
    <row r="2372" ht="15" customHeight="1">
      <c r="A2372" t="inlineStr">
        <is>
          <t>A 17764-2023</t>
        </is>
      </c>
      <c r="B2372" s="1" t="n">
        <v>45037.50085648148</v>
      </c>
      <c r="C2372" s="1" t="n">
        <v>45952</v>
      </c>
      <c r="D2372" t="inlineStr">
        <is>
          <t>ÖREBRO LÄN</t>
        </is>
      </c>
      <c r="E2372" t="inlineStr">
        <is>
          <t>HÄLLEFORS</t>
        </is>
      </c>
      <c r="F2372" t="inlineStr">
        <is>
          <t>Bergvik skog väst AB</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52928-2024</t>
        </is>
      </c>
      <c r="B2373" s="1" t="n">
        <v>45610</v>
      </c>
      <c r="C2373" s="1" t="n">
        <v>45952</v>
      </c>
      <c r="D2373" t="inlineStr">
        <is>
          <t>ÖREBRO LÄN</t>
        </is>
      </c>
      <c r="E2373" t="inlineStr">
        <is>
          <t>LINDESBERG</t>
        </is>
      </c>
      <c r="G2373" t="n">
        <v>8.6</v>
      </c>
      <c r="H2373" t="n">
        <v>0</v>
      </c>
      <c r="I2373" t="n">
        <v>0</v>
      </c>
      <c r="J2373" t="n">
        <v>0</v>
      </c>
      <c r="K2373" t="n">
        <v>0</v>
      </c>
      <c r="L2373" t="n">
        <v>0</v>
      </c>
      <c r="M2373" t="n">
        <v>0</v>
      </c>
      <c r="N2373" t="n">
        <v>0</v>
      </c>
      <c r="O2373" t="n">
        <v>0</v>
      </c>
      <c r="P2373" t="n">
        <v>0</v>
      </c>
      <c r="Q2373" t="n">
        <v>0</v>
      </c>
      <c r="R2373" s="2" t="inlineStr"/>
    </row>
    <row r="2374" ht="15" customHeight="1">
      <c r="A2374" t="inlineStr">
        <is>
          <t>A 41526-2024</t>
        </is>
      </c>
      <c r="B2374" s="1" t="n">
        <v>45560</v>
      </c>
      <c r="C2374" s="1" t="n">
        <v>45952</v>
      </c>
      <c r="D2374" t="inlineStr">
        <is>
          <t>ÖREBRO LÄN</t>
        </is>
      </c>
      <c r="E2374" t="inlineStr">
        <is>
          <t>LAXÅ</t>
        </is>
      </c>
      <c r="F2374" t="inlineStr">
        <is>
          <t>Sveaskog</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28054-2022</t>
        </is>
      </c>
      <c r="B2375" s="1" t="n">
        <v>44746.41938657407</v>
      </c>
      <c r="C2375" s="1" t="n">
        <v>45952</v>
      </c>
      <c r="D2375" t="inlineStr">
        <is>
          <t>ÖREBRO LÄN</t>
        </is>
      </c>
      <c r="E2375" t="inlineStr">
        <is>
          <t>ÖREBRO</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65054-2021</t>
        </is>
      </c>
      <c r="B2376" s="1" t="n">
        <v>44515.35802083334</v>
      </c>
      <c r="C2376" s="1" t="n">
        <v>45952</v>
      </c>
      <c r="D2376" t="inlineStr">
        <is>
          <t>ÖREBRO LÄN</t>
        </is>
      </c>
      <c r="E2376" t="inlineStr">
        <is>
          <t>HÄLLEFORS</t>
        </is>
      </c>
      <c r="F2376" t="inlineStr">
        <is>
          <t>Bergvik skog väst AB</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65942-2020</t>
        </is>
      </c>
      <c r="B2377" s="1" t="n">
        <v>44173</v>
      </c>
      <c r="C2377" s="1" t="n">
        <v>45952</v>
      </c>
      <c r="D2377" t="inlineStr">
        <is>
          <t>ÖREBRO LÄN</t>
        </is>
      </c>
      <c r="E2377" t="inlineStr">
        <is>
          <t>NORA</t>
        </is>
      </c>
      <c r="F2377" t="inlineStr">
        <is>
          <t>Övriga Aktiebolag</t>
        </is>
      </c>
      <c r="G2377" t="n">
        <v>5.2</v>
      </c>
      <c r="H2377" t="n">
        <v>0</v>
      </c>
      <c r="I2377" t="n">
        <v>0</v>
      </c>
      <c r="J2377" t="n">
        <v>0</v>
      </c>
      <c r="K2377" t="n">
        <v>0</v>
      </c>
      <c r="L2377" t="n">
        <v>0</v>
      </c>
      <c r="M2377" t="n">
        <v>0</v>
      </c>
      <c r="N2377" t="n">
        <v>0</v>
      </c>
      <c r="O2377" t="n">
        <v>0</v>
      </c>
      <c r="P2377" t="n">
        <v>0</v>
      </c>
      <c r="Q2377" t="n">
        <v>0</v>
      </c>
      <c r="R2377" s="2" t="inlineStr"/>
    </row>
    <row r="2378" ht="15" customHeight="1">
      <c r="A2378" t="inlineStr">
        <is>
          <t>A 73500-2021</t>
        </is>
      </c>
      <c r="B2378" s="1" t="n">
        <v>44551</v>
      </c>
      <c r="C2378" s="1" t="n">
        <v>45952</v>
      </c>
      <c r="D2378" t="inlineStr">
        <is>
          <t>ÖREBRO LÄN</t>
        </is>
      </c>
      <c r="E2378" t="inlineStr">
        <is>
          <t>LINDESBERG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28955-2023</t>
        </is>
      </c>
      <c r="B2379" s="1" t="n">
        <v>45104</v>
      </c>
      <c r="C2379" s="1" t="n">
        <v>45952</v>
      </c>
      <c r="D2379" t="inlineStr">
        <is>
          <t>ÖREBRO LÄN</t>
        </is>
      </c>
      <c r="E2379" t="inlineStr">
        <is>
          <t>ASKERSUND</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42156-2024</t>
        </is>
      </c>
      <c r="B2380" s="1" t="n">
        <v>45562</v>
      </c>
      <c r="C2380" s="1" t="n">
        <v>45952</v>
      </c>
      <c r="D2380" t="inlineStr">
        <is>
          <t>ÖREBRO LÄN</t>
        </is>
      </c>
      <c r="E2380" t="inlineStr">
        <is>
          <t>HALLSBERG</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9961-2023</t>
        </is>
      </c>
      <c r="B2381" s="1" t="n">
        <v>44979</v>
      </c>
      <c r="C2381" s="1" t="n">
        <v>45952</v>
      </c>
      <c r="D2381" t="inlineStr">
        <is>
          <t>ÖREBRO LÄN</t>
        </is>
      </c>
      <c r="E2381" t="inlineStr">
        <is>
          <t>LINDESBERG</t>
        </is>
      </c>
      <c r="G2381" t="n">
        <v>4.8</v>
      </c>
      <c r="H2381" t="n">
        <v>0</v>
      </c>
      <c r="I2381" t="n">
        <v>0</v>
      </c>
      <c r="J2381" t="n">
        <v>0</v>
      </c>
      <c r="K2381" t="n">
        <v>0</v>
      </c>
      <c r="L2381" t="n">
        <v>0</v>
      </c>
      <c r="M2381" t="n">
        <v>0</v>
      </c>
      <c r="N2381" t="n">
        <v>0</v>
      </c>
      <c r="O2381" t="n">
        <v>0</v>
      </c>
      <c r="P2381" t="n">
        <v>0</v>
      </c>
      <c r="Q2381" t="n">
        <v>0</v>
      </c>
      <c r="R2381" s="2" t="inlineStr"/>
    </row>
    <row r="2382" ht="15" customHeight="1">
      <c r="A2382" t="inlineStr">
        <is>
          <t>A 21084-2021</t>
        </is>
      </c>
      <c r="B2382" s="1" t="n">
        <v>44319</v>
      </c>
      <c r="C2382" s="1" t="n">
        <v>45952</v>
      </c>
      <c r="D2382" t="inlineStr">
        <is>
          <t>ÖREBRO LÄN</t>
        </is>
      </c>
      <c r="E2382" t="inlineStr">
        <is>
          <t>LINDESBERG</t>
        </is>
      </c>
      <c r="G2382" t="n">
        <v>3.1</v>
      </c>
      <c r="H2382" t="n">
        <v>0</v>
      </c>
      <c r="I2382" t="n">
        <v>0</v>
      </c>
      <c r="J2382" t="n">
        <v>0</v>
      </c>
      <c r="K2382" t="n">
        <v>0</v>
      </c>
      <c r="L2382" t="n">
        <v>0</v>
      </c>
      <c r="M2382" t="n">
        <v>0</v>
      </c>
      <c r="N2382" t="n">
        <v>0</v>
      </c>
      <c r="O2382" t="n">
        <v>0</v>
      </c>
      <c r="P2382" t="n">
        <v>0</v>
      </c>
      <c r="Q2382" t="n">
        <v>0</v>
      </c>
      <c r="R2382" s="2" t="inlineStr"/>
    </row>
    <row r="2383" ht="15" customHeight="1">
      <c r="A2383" t="inlineStr">
        <is>
          <t>A 46056-2024</t>
        </is>
      </c>
      <c r="B2383" s="1" t="n">
        <v>45580.91502314815</v>
      </c>
      <c r="C2383" s="1" t="n">
        <v>45952</v>
      </c>
      <c r="D2383" t="inlineStr">
        <is>
          <t>ÖREBRO LÄN</t>
        </is>
      </c>
      <c r="E2383" t="inlineStr">
        <is>
          <t>ÖREBRO</t>
        </is>
      </c>
      <c r="F2383" t="inlineStr">
        <is>
          <t>Övriga Aktiebolag</t>
        </is>
      </c>
      <c r="G2383" t="n">
        <v>4.5</v>
      </c>
      <c r="H2383" t="n">
        <v>0</v>
      </c>
      <c r="I2383" t="n">
        <v>0</v>
      </c>
      <c r="J2383" t="n">
        <v>0</v>
      </c>
      <c r="K2383" t="n">
        <v>0</v>
      </c>
      <c r="L2383" t="n">
        <v>0</v>
      </c>
      <c r="M2383" t="n">
        <v>0</v>
      </c>
      <c r="N2383" t="n">
        <v>0</v>
      </c>
      <c r="O2383" t="n">
        <v>0</v>
      </c>
      <c r="P2383" t="n">
        <v>0</v>
      </c>
      <c r="Q2383" t="n">
        <v>0</v>
      </c>
      <c r="R2383" s="2" t="inlineStr"/>
    </row>
    <row r="2384" ht="15" customHeight="1">
      <c r="A2384" t="inlineStr">
        <is>
          <t>A 37404-2022</t>
        </is>
      </c>
      <c r="B2384" s="1" t="n">
        <v>44808</v>
      </c>
      <c r="C2384" s="1" t="n">
        <v>45952</v>
      </c>
      <c r="D2384" t="inlineStr">
        <is>
          <t>ÖREBRO LÄN</t>
        </is>
      </c>
      <c r="E2384" t="inlineStr">
        <is>
          <t>ASKERSUND</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11358-2025</t>
        </is>
      </c>
      <c r="B2385" s="1" t="n">
        <v>45726.5303587963</v>
      </c>
      <c r="C2385" s="1" t="n">
        <v>45952</v>
      </c>
      <c r="D2385" t="inlineStr">
        <is>
          <t>ÖREBRO LÄN</t>
        </is>
      </c>
      <c r="E2385" t="inlineStr">
        <is>
          <t>HALLSBERG</t>
        </is>
      </c>
      <c r="F2385" t="inlineStr">
        <is>
          <t>Sveaskog</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56712-2024</t>
        </is>
      </c>
      <c r="B2386" s="1" t="n">
        <v>45628.29118055556</v>
      </c>
      <c r="C2386" s="1" t="n">
        <v>45952</v>
      </c>
      <c r="D2386" t="inlineStr">
        <is>
          <t>ÖREBRO LÄN</t>
        </is>
      </c>
      <c r="E2386" t="inlineStr">
        <is>
          <t>KUMLA</t>
        </is>
      </c>
      <c r="G2386" t="n">
        <v>0.2</v>
      </c>
      <c r="H2386" t="n">
        <v>0</v>
      </c>
      <c r="I2386" t="n">
        <v>0</v>
      </c>
      <c r="J2386" t="n">
        <v>0</v>
      </c>
      <c r="K2386" t="n">
        <v>0</v>
      </c>
      <c r="L2386" t="n">
        <v>0</v>
      </c>
      <c r="M2386" t="n">
        <v>0</v>
      </c>
      <c r="N2386" t="n">
        <v>0</v>
      </c>
      <c r="O2386" t="n">
        <v>0</v>
      </c>
      <c r="P2386" t="n">
        <v>0</v>
      </c>
      <c r="Q2386" t="n">
        <v>0</v>
      </c>
      <c r="R2386" s="2" t="inlineStr"/>
    </row>
    <row r="2387" ht="15" customHeight="1">
      <c r="A2387" t="inlineStr">
        <is>
          <t>A 541-2025</t>
        </is>
      </c>
      <c r="B2387" s="1" t="n">
        <v>45664.52034722222</v>
      </c>
      <c r="C2387" s="1" t="n">
        <v>45952</v>
      </c>
      <c r="D2387" t="inlineStr">
        <is>
          <t>ÖREBRO LÄN</t>
        </is>
      </c>
      <c r="E2387" t="inlineStr">
        <is>
          <t>ÖREBRO</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33861-2022</t>
        </is>
      </c>
      <c r="B2388" s="1" t="n">
        <v>44790</v>
      </c>
      <c r="C2388" s="1" t="n">
        <v>45952</v>
      </c>
      <c r="D2388" t="inlineStr">
        <is>
          <t>ÖREBRO LÄN</t>
        </is>
      </c>
      <c r="E2388" t="inlineStr">
        <is>
          <t>LJUSNARSBERG</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46619-2023</t>
        </is>
      </c>
      <c r="B2389" s="1" t="n">
        <v>45198</v>
      </c>
      <c r="C2389" s="1" t="n">
        <v>45952</v>
      </c>
      <c r="D2389" t="inlineStr">
        <is>
          <t>ÖREBRO LÄN</t>
        </is>
      </c>
      <c r="E2389" t="inlineStr">
        <is>
          <t>ASKERSUND</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57638-2022</t>
        </is>
      </c>
      <c r="B2390" s="1" t="n">
        <v>44897</v>
      </c>
      <c r="C2390" s="1" t="n">
        <v>45952</v>
      </c>
      <c r="D2390" t="inlineStr">
        <is>
          <t>ÖREBRO LÄN</t>
        </is>
      </c>
      <c r="E2390" t="inlineStr">
        <is>
          <t>ÖREBRO</t>
        </is>
      </c>
      <c r="G2390" t="n">
        <v>1.6</v>
      </c>
      <c r="H2390" t="n">
        <v>0</v>
      </c>
      <c r="I2390" t="n">
        <v>0</v>
      </c>
      <c r="J2390" t="n">
        <v>0</v>
      </c>
      <c r="K2390" t="n">
        <v>0</v>
      </c>
      <c r="L2390" t="n">
        <v>0</v>
      </c>
      <c r="M2390" t="n">
        <v>0</v>
      </c>
      <c r="N2390" t="n">
        <v>0</v>
      </c>
      <c r="O2390" t="n">
        <v>0</v>
      </c>
      <c r="P2390" t="n">
        <v>0</v>
      </c>
      <c r="Q2390" t="n">
        <v>0</v>
      </c>
      <c r="R2390" s="2" t="inlineStr"/>
    </row>
    <row r="2391" ht="15" customHeight="1">
      <c r="A2391" t="inlineStr">
        <is>
          <t>A 44650-2024</t>
        </is>
      </c>
      <c r="B2391" s="1" t="n">
        <v>45574</v>
      </c>
      <c r="C2391" s="1" t="n">
        <v>45952</v>
      </c>
      <c r="D2391" t="inlineStr">
        <is>
          <t>ÖREBRO LÄN</t>
        </is>
      </c>
      <c r="E2391" t="inlineStr">
        <is>
          <t>LEKEBERG</t>
        </is>
      </c>
      <c r="G2391" t="n">
        <v>8</v>
      </c>
      <c r="H2391" t="n">
        <v>0</v>
      </c>
      <c r="I2391" t="n">
        <v>0</v>
      </c>
      <c r="J2391" t="n">
        <v>0</v>
      </c>
      <c r="K2391" t="n">
        <v>0</v>
      </c>
      <c r="L2391" t="n">
        <v>0</v>
      </c>
      <c r="M2391" t="n">
        <v>0</v>
      </c>
      <c r="N2391" t="n">
        <v>0</v>
      </c>
      <c r="O2391" t="n">
        <v>0</v>
      </c>
      <c r="P2391" t="n">
        <v>0</v>
      </c>
      <c r="Q2391" t="n">
        <v>0</v>
      </c>
      <c r="R2391" s="2" t="inlineStr"/>
    </row>
    <row r="2392" ht="15" customHeight="1">
      <c r="A2392" t="inlineStr">
        <is>
          <t>A 18627-2025</t>
        </is>
      </c>
      <c r="B2392" s="1" t="n">
        <v>45763.53284722222</v>
      </c>
      <c r="C2392" s="1" t="n">
        <v>45952</v>
      </c>
      <c r="D2392" t="inlineStr">
        <is>
          <t>ÖREBRO LÄN</t>
        </is>
      </c>
      <c r="E2392" t="inlineStr">
        <is>
          <t>HÄLLEFORS</t>
        </is>
      </c>
      <c r="F2392" t="inlineStr">
        <is>
          <t>Bergvik skog väst AB</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642-2022</t>
        </is>
      </c>
      <c r="B2393" s="1" t="n">
        <v>44568.39900462963</v>
      </c>
      <c r="C2393" s="1" t="n">
        <v>45952</v>
      </c>
      <c r="D2393" t="inlineStr">
        <is>
          <t>ÖREBRO LÄN</t>
        </is>
      </c>
      <c r="E2393" t="inlineStr">
        <is>
          <t>ASKERSUND</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57283-2020</t>
        </is>
      </c>
      <c r="B2394" s="1" t="n">
        <v>44139</v>
      </c>
      <c r="C2394" s="1" t="n">
        <v>45952</v>
      </c>
      <c r="D2394" t="inlineStr">
        <is>
          <t>ÖREBRO LÄN</t>
        </is>
      </c>
      <c r="E2394" t="inlineStr">
        <is>
          <t>KARLSKOGA</t>
        </is>
      </c>
      <c r="F2394" t="inlineStr">
        <is>
          <t>Sveaskog</t>
        </is>
      </c>
      <c r="G2394" t="n">
        <v>3.4</v>
      </c>
      <c r="H2394" t="n">
        <v>0</v>
      </c>
      <c r="I2394" t="n">
        <v>0</v>
      </c>
      <c r="J2394" t="n">
        <v>0</v>
      </c>
      <c r="K2394" t="n">
        <v>0</v>
      </c>
      <c r="L2394" t="n">
        <v>0</v>
      </c>
      <c r="M2394" t="n">
        <v>0</v>
      </c>
      <c r="N2394" t="n">
        <v>0</v>
      </c>
      <c r="O2394" t="n">
        <v>0</v>
      </c>
      <c r="P2394" t="n">
        <v>0</v>
      </c>
      <c r="Q2394" t="n">
        <v>0</v>
      </c>
      <c r="R2394" s="2" t="inlineStr"/>
    </row>
    <row r="2395" ht="15" customHeight="1">
      <c r="A2395" t="inlineStr">
        <is>
          <t>A 16864-2022</t>
        </is>
      </c>
      <c r="B2395" s="1" t="n">
        <v>44675</v>
      </c>
      <c r="C2395" s="1" t="n">
        <v>45952</v>
      </c>
      <c r="D2395" t="inlineStr">
        <is>
          <t>ÖREBRO LÄN</t>
        </is>
      </c>
      <c r="E2395" t="inlineStr">
        <is>
          <t>LINDESBERG</t>
        </is>
      </c>
      <c r="F2395" t="inlineStr">
        <is>
          <t>Kyrkan</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37532-2023</t>
        </is>
      </c>
      <c r="B2396" s="1" t="n">
        <v>45158.89597222222</v>
      </c>
      <c r="C2396" s="1" t="n">
        <v>45952</v>
      </c>
      <c r="D2396" t="inlineStr">
        <is>
          <t>ÖREBRO LÄN</t>
        </is>
      </c>
      <c r="E2396" t="inlineStr">
        <is>
          <t>ASKERSUND</t>
        </is>
      </c>
      <c r="F2396" t="inlineStr">
        <is>
          <t>Sveaskog</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54845-2024</t>
        </is>
      </c>
      <c r="B2397" s="1" t="n">
        <v>45618</v>
      </c>
      <c r="C2397" s="1" t="n">
        <v>45952</v>
      </c>
      <c r="D2397" t="inlineStr">
        <is>
          <t>ÖREBRO LÄN</t>
        </is>
      </c>
      <c r="E2397" t="inlineStr">
        <is>
          <t>LAXÅ</t>
        </is>
      </c>
      <c r="F2397" t="inlineStr">
        <is>
          <t>Sveaskog</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43941-2023</t>
        </is>
      </c>
      <c r="B2398" s="1" t="n">
        <v>45187</v>
      </c>
      <c r="C2398" s="1" t="n">
        <v>45952</v>
      </c>
      <c r="D2398" t="inlineStr">
        <is>
          <t>ÖREBRO LÄN</t>
        </is>
      </c>
      <c r="E2398" t="inlineStr">
        <is>
          <t>HÄLLEFORS</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15213-2024</t>
        </is>
      </c>
      <c r="B2399" s="1" t="n">
        <v>45400.45157407408</v>
      </c>
      <c r="C2399" s="1" t="n">
        <v>45952</v>
      </c>
      <c r="D2399" t="inlineStr">
        <is>
          <t>ÖREBRO LÄN</t>
        </is>
      </c>
      <c r="E2399" t="inlineStr">
        <is>
          <t>LAXÅ</t>
        </is>
      </c>
      <c r="F2399" t="inlineStr">
        <is>
          <t>Sveaskog</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53143-2023</t>
        </is>
      </c>
      <c r="B2400" s="1" t="n">
        <v>45229</v>
      </c>
      <c r="C2400" s="1" t="n">
        <v>45952</v>
      </c>
      <c r="D2400" t="inlineStr">
        <is>
          <t>ÖREBRO LÄN</t>
        </is>
      </c>
      <c r="E2400" t="inlineStr">
        <is>
          <t>ÖREBRO</t>
        </is>
      </c>
      <c r="G2400" t="n">
        <v>3.3</v>
      </c>
      <c r="H2400" t="n">
        <v>0</v>
      </c>
      <c r="I2400" t="n">
        <v>0</v>
      </c>
      <c r="J2400" t="n">
        <v>0</v>
      </c>
      <c r="K2400" t="n">
        <v>0</v>
      </c>
      <c r="L2400" t="n">
        <v>0</v>
      </c>
      <c r="M2400" t="n">
        <v>0</v>
      </c>
      <c r="N2400" t="n">
        <v>0</v>
      </c>
      <c r="O2400" t="n">
        <v>0</v>
      </c>
      <c r="P2400" t="n">
        <v>0</v>
      </c>
      <c r="Q2400" t="n">
        <v>0</v>
      </c>
      <c r="R2400" s="2" t="inlineStr"/>
    </row>
    <row r="2401" ht="15" customHeight="1">
      <c r="A2401" t="inlineStr">
        <is>
          <t>A 22887-2024</t>
        </is>
      </c>
      <c r="B2401" s="1" t="n">
        <v>45448</v>
      </c>
      <c r="C2401" s="1" t="n">
        <v>45952</v>
      </c>
      <c r="D2401" t="inlineStr">
        <is>
          <t>ÖREBRO LÄN</t>
        </is>
      </c>
      <c r="E2401" t="inlineStr">
        <is>
          <t>LJUSNARSBERG</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4977-2023</t>
        </is>
      </c>
      <c r="B2402" s="1" t="n">
        <v>44958.46266203704</v>
      </c>
      <c r="C2402" s="1" t="n">
        <v>45952</v>
      </c>
      <c r="D2402" t="inlineStr">
        <is>
          <t>ÖREBRO LÄN</t>
        </is>
      </c>
      <c r="E2402" t="inlineStr">
        <is>
          <t>NORA</t>
        </is>
      </c>
      <c r="G2402" t="n">
        <v>4.4</v>
      </c>
      <c r="H2402" t="n">
        <v>0</v>
      </c>
      <c r="I2402" t="n">
        <v>0</v>
      </c>
      <c r="J2402" t="n">
        <v>0</v>
      </c>
      <c r="K2402" t="n">
        <v>0</v>
      </c>
      <c r="L2402" t="n">
        <v>0</v>
      </c>
      <c r="M2402" t="n">
        <v>0</v>
      </c>
      <c r="N2402" t="n">
        <v>0</v>
      </c>
      <c r="O2402" t="n">
        <v>0</v>
      </c>
      <c r="P2402" t="n">
        <v>0</v>
      </c>
      <c r="Q2402" t="n">
        <v>0</v>
      </c>
      <c r="R2402" s="2" t="inlineStr"/>
    </row>
    <row r="2403" ht="15" customHeight="1">
      <c r="A2403" t="inlineStr">
        <is>
          <t>A 5047-2023</t>
        </is>
      </c>
      <c r="B2403" s="1" t="n">
        <v>44958.58982638889</v>
      </c>
      <c r="C2403" s="1" t="n">
        <v>45952</v>
      </c>
      <c r="D2403" t="inlineStr">
        <is>
          <t>ÖREBRO LÄN</t>
        </is>
      </c>
      <c r="E2403" t="inlineStr">
        <is>
          <t>LINDESBERG</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27513-2021</t>
        </is>
      </c>
      <c r="B2404" s="1" t="n">
        <v>44351</v>
      </c>
      <c r="C2404" s="1" t="n">
        <v>45952</v>
      </c>
      <c r="D2404" t="inlineStr">
        <is>
          <t>ÖREBRO LÄN</t>
        </is>
      </c>
      <c r="E2404" t="inlineStr">
        <is>
          <t>HÄLLEFORS</t>
        </is>
      </c>
      <c r="F2404" t="inlineStr">
        <is>
          <t>Sveaskog</t>
        </is>
      </c>
      <c r="G2404" t="n">
        <v>4.6</v>
      </c>
      <c r="H2404" t="n">
        <v>0</v>
      </c>
      <c r="I2404" t="n">
        <v>0</v>
      </c>
      <c r="J2404" t="n">
        <v>0</v>
      </c>
      <c r="K2404" t="n">
        <v>0</v>
      </c>
      <c r="L2404" t="n">
        <v>0</v>
      </c>
      <c r="M2404" t="n">
        <v>0</v>
      </c>
      <c r="N2404" t="n">
        <v>0</v>
      </c>
      <c r="O2404" t="n">
        <v>0</v>
      </c>
      <c r="P2404" t="n">
        <v>0</v>
      </c>
      <c r="Q2404" t="n">
        <v>0</v>
      </c>
      <c r="R2404" s="2" t="inlineStr"/>
    </row>
    <row r="2405" ht="15" customHeight="1">
      <c r="A2405" t="inlineStr">
        <is>
          <t>A 25407-2021</t>
        </is>
      </c>
      <c r="B2405" s="1" t="n">
        <v>44342</v>
      </c>
      <c r="C2405" s="1" t="n">
        <v>45952</v>
      </c>
      <c r="D2405" t="inlineStr">
        <is>
          <t>ÖREBRO LÄN</t>
        </is>
      </c>
      <c r="E2405" t="inlineStr">
        <is>
          <t>ÖREBRO</t>
        </is>
      </c>
      <c r="F2405" t="inlineStr">
        <is>
          <t>Kommuner</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28860-2021</t>
        </is>
      </c>
      <c r="B2406" s="1" t="n">
        <v>44357.68817129629</v>
      </c>
      <c r="C2406" s="1" t="n">
        <v>45952</v>
      </c>
      <c r="D2406" t="inlineStr">
        <is>
          <t>ÖREBRO LÄN</t>
        </is>
      </c>
      <c r="E2406" t="inlineStr">
        <is>
          <t>LAXÅ</t>
        </is>
      </c>
      <c r="F2406" t="inlineStr">
        <is>
          <t>Sveaskog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15641-2024</t>
        </is>
      </c>
      <c r="B2407" s="1" t="n">
        <v>45403</v>
      </c>
      <c r="C2407" s="1" t="n">
        <v>45952</v>
      </c>
      <c r="D2407" t="inlineStr">
        <is>
          <t>ÖREBRO LÄN</t>
        </is>
      </c>
      <c r="E2407" t="inlineStr">
        <is>
          <t>LAXÅ</t>
        </is>
      </c>
      <c r="G2407" t="n">
        <v>4.6</v>
      </c>
      <c r="H2407" t="n">
        <v>0</v>
      </c>
      <c r="I2407" t="n">
        <v>0</v>
      </c>
      <c r="J2407" t="n">
        <v>0</v>
      </c>
      <c r="K2407" t="n">
        <v>0</v>
      </c>
      <c r="L2407" t="n">
        <v>0</v>
      </c>
      <c r="M2407" t="n">
        <v>0</v>
      </c>
      <c r="N2407" t="n">
        <v>0</v>
      </c>
      <c r="O2407" t="n">
        <v>0</v>
      </c>
      <c r="P2407" t="n">
        <v>0</v>
      </c>
      <c r="Q2407" t="n">
        <v>0</v>
      </c>
      <c r="R2407" s="2" t="inlineStr"/>
    </row>
    <row r="2408" ht="15" customHeight="1">
      <c r="A2408" t="inlineStr">
        <is>
          <t>A 15642-2024</t>
        </is>
      </c>
      <c r="B2408" s="1" t="n">
        <v>45403</v>
      </c>
      <c r="C2408" s="1" t="n">
        <v>45952</v>
      </c>
      <c r="D2408" t="inlineStr">
        <is>
          <t>ÖREBRO LÄN</t>
        </is>
      </c>
      <c r="E2408" t="inlineStr">
        <is>
          <t>LAXÅ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8274-2025</t>
        </is>
      </c>
      <c r="B2409" s="1" t="n">
        <v>45708</v>
      </c>
      <c r="C2409" s="1" t="n">
        <v>45952</v>
      </c>
      <c r="D2409" t="inlineStr">
        <is>
          <t>ÖREBRO LÄN</t>
        </is>
      </c>
      <c r="E2409" t="inlineStr">
        <is>
          <t>ÖREBRO</t>
        </is>
      </c>
      <c r="G2409" t="n">
        <v>5.8</v>
      </c>
      <c r="H2409" t="n">
        <v>0</v>
      </c>
      <c r="I2409" t="n">
        <v>0</v>
      </c>
      <c r="J2409" t="n">
        <v>0</v>
      </c>
      <c r="K2409" t="n">
        <v>0</v>
      </c>
      <c r="L2409" t="n">
        <v>0</v>
      </c>
      <c r="M2409" t="n">
        <v>0</v>
      </c>
      <c r="N2409" t="n">
        <v>0</v>
      </c>
      <c r="O2409" t="n">
        <v>0</v>
      </c>
      <c r="P2409" t="n">
        <v>0</v>
      </c>
      <c r="Q2409" t="n">
        <v>0</v>
      </c>
      <c r="R2409" s="2" t="inlineStr"/>
    </row>
    <row r="2410" ht="15" customHeight="1">
      <c r="A2410" t="inlineStr">
        <is>
          <t>A 18590-2023</t>
        </is>
      </c>
      <c r="B2410" s="1" t="n">
        <v>45043.40300925926</v>
      </c>
      <c r="C2410" s="1" t="n">
        <v>45952</v>
      </c>
      <c r="D2410" t="inlineStr">
        <is>
          <t>ÖREBRO LÄN</t>
        </is>
      </c>
      <c r="E2410" t="inlineStr">
        <is>
          <t>LINDESBERG</t>
        </is>
      </c>
      <c r="G2410" t="n">
        <v>2.4</v>
      </c>
      <c r="H2410" t="n">
        <v>0</v>
      </c>
      <c r="I2410" t="n">
        <v>0</v>
      </c>
      <c r="J2410" t="n">
        <v>0</v>
      </c>
      <c r="K2410" t="n">
        <v>0</v>
      </c>
      <c r="L2410" t="n">
        <v>0</v>
      </c>
      <c r="M2410" t="n">
        <v>0</v>
      </c>
      <c r="N2410" t="n">
        <v>0</v>
      </c>
      <c r="O2410" t="n">
        <v>0</v>
      </c>
      <c r="P2410" t="n">
        <v>0</v>
      </c>
      <c r="Q2410" t="n">
        <v>0</v>
      </c>
      <c r="R2410" s="2" t="inlineStr"/>
    </row>
    <row r="2411" ht="15" customHeight="1">
      <c r="A2411" t="inlineStr">
        <is>
          <t>A 3057-2024</t>
        </is>
      </c>
      <c r="B2411" s="1" t="n">
        <v>45316</v>
      </c>
      <c r="C2411" s="1" t="n">
        <v>45952</v>
      </c>
      <c r="D2411" t="inlineStr">
        <is>
          <t>ÖREBRO LÄN</t>
        </is>
      </c>
      <c r="E2411" t="inlineStr">
        <is>
          <t>HÄLLEFORS</t>
        </is>
      </c>
      <c r="F2411" t="inlineStr">
        <is>
          <t>Bergvik skog väst AB</t>
        </is>
      </c>
      <c r="G2411" t="n">
        <v>12.2</v>
      </c>
      <c r="H2411" t="n">
        <v>0</v>
      </c>
      <c r="I2411" t="n">
        <v>0</v>
      </c>
      <c r="J2411" t="n">
        <v>0</v>
      </c>
      <c r="K2411" t="n">
        <v>0</v>
      </c>
      <c r="L2411" t="n">
        <v>0</v>
      </c>
      <c r="M2411" t="n">
        <v>0</v>
      </c>
      <c r="N2411" t="n">
        <v>0</v>
      </c>
      <c r="O2411" t="n">
        <v>0</v>
      </c>
      <c r="P2411" t="n">
        <v>0</v>
      </c>
      <c r="Q2411" t="n">
        <v>0</v>
      </c>
      <c r="R2411" s="2" t="inlineStr"/>
    </row>
    <row r="2412" ht="15" customHeight="1">
      <c r="A2412" t="inlineStr">
        <is>
          <t>A 54831-2024</t>
        </is>
      </c>
      <c r="B2412" s="1" t="n">
        <v>45618.55291666667</v>
      </c>
      <c r="C2412" s="1" t="n">
        <v>45952</v>
      </c>
      <c r="D2412" t="inlineStr">
        <is>
          <t>ÖREBRO LÄN</t>
        </is>
      </c>
      <c r="E2412" t="inlineStr">
        <is>
          <t>LAXÅ</t>
        </is>
      </c>
      <c r="F2412" t="inlineStr">
        <is>
          <t>Sveaskog</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21041-2025</t>
        </is>
      </c>
      <c r="B2413" s="1" t="n">
        <v>45777.54607638889</v>
      </c>
      <c r="C2413" s="1" t="n">
        <v>45952</v>
      </c>
      <c r="D2413" t="inlineStr">
        <is>
          <t>ÖREBRO LÄN</t>
        </is>
      </c>
      <c r="E2413" t="inlineStr">
        <is>
          <t>ASKERSUND</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21050-2025</t>
        </is>
      </c>
      <c r="B2414" s="1" t="n">
        <v>45777.56322916667</v>
      </c>
      <c r="C2414" s="1" t="n">
        <v>45952</v>
      </c>
      <c r="D2414" t="inlineStr">
        <is>
          <t>ÖREBRO LÄN</t>
        </is>
      </c>
      <c r="E2414" t="inlineStr">
        <is>
          <t>HÄLLEFORS</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21048-2025</t>
        </is>
      </c>
      <c r="B2415" s="1" t="n">
        <v>45777.55945601852</v>
      </c>
      <c r="C2415" s="1" t="n">
        <v>45952</v>
      </c>
      <c r="D2415" t="inlineStr">
        <is>
          <t>ÖREBRO LÄN</t>
        </is>
      </c>
      <c r="E2415" t="inlineStr">
        <is>
          <t>ASKERSUND</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6394-2024</t>
        </is>
      </c>
      <c r="B2416" s="1" t="n">
        <v>45338.57230324074</v>
      </c>
      <c r="C2416" s="1" t="n">
        <v>45952</v>
      </c>
      <c r="D2416" t="inlineStr">
        <is>
          <t>ÖREBRO LÄN</t>
        </is>
      </c>
      <c r="E2416" t="inlineStr">
        <is>
          <t>DEGERFORS</t>
        </is>
      </c>
      <c r="F2416" t="inlineStr">
        <is>
          <t>Sveaskog</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6310-2024</t>
        </is>
      </c>
      <c r="B2417" s="1" t="n">
        <v>45338</v>
      </c>
      <c r="C2417" s="1" t="n">
        <v>45952</v>
      </c>
      <c r="D2417" t="inlineStr">
        <is>
          <t>ÖREBRO LÄN</t>
        </is>
      </c>
      <c r="E2417" t="inlineStr">
        <is>
          <t>LJUSNARSBERG</t>
        </is>
      </c>
      <c r="G2417" t="n">
        <v>4.1</v>
      </c>
      <c r="H2417" t="n">
        <v>0</v>
      </c>
      <c r="I2417" t="n">
        <v>0</v>
      </c>
      <c r="J2417" t="n">
        <v>0</v>
      </c>
      <c r="K2417" t="n">
        <v>0</v>
      </c>
      <c r="L2417" t="n">
        <v>0</v>
      </c>
      <c r="M2417" t="n">
        <v>0</v>
      </c>
      <c r="N2417" t="n">
        <v>0</v>
      </c>
      <c r="O2417" t="n">
        <v>0</v>
      </c>
      <c r="P2417" t="n">
        <v>0</v>
      </c>
      <c r="Q2417" t="n">
        <v>0</v>
      </c>
      <c r="R2417" s="2" t="inlineStr"/>
    </row>
    <row r="2418" ht="15" customHeight="1">
      <c r="A2418" t="inlineStr">
        <is>
          <t>A 41264-2023</t>
        </is>
      </c>
      <c r="B2418" s="1" t="n">
        <v>45170</v>
      </c>
      <c r="C2418" s="1" t="n">
        <v>45952</v>
      </c>
      <c r="D2418" t="inlineStr">
        <is>
          <t>ÖREBRO LÄN</t>
        </is>
      </c>
      <c r="E2418" t="inlineStr">
        <is>
          <t>ASKERSUND</t>
        </is>
      </c>
      <c r="F2418" t="inlineStr">
        <is>
          <t>Övriga Aktiebolag</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7634-2024</t>
        </is>
      </c>
      <c r="B2419" s="1" t="n">
        <v>45348</v>
      </c>
      <c r="C2419" s="1" t="n">
        <v>45952</v>
      </c>
      <c r="D2419" t="inlineStr">
        <is>
          <t>ÖREBRO LÄN</t>
        </is>
      </c>
      <c r="E2419" t="inlineStr">
        <is>
          <t>ÖREBRO</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11969-2023</t>
        </is>
      </c>
      <c r="B2420" s="1" t="n">
        <v>44995.5728125</v>
      </c>
      <c r="C2420" s="1" t="n">
        <v>45952</v>
      </c>
      <c r="D2420" t="inlineStr">
        <is>
          <t>ÖREBRO LÄN</t>
        </is>
      </c>
      <c r="E2420" t="inlineStr">
        <is>
          <t>ASKERSUND</t>
        </is>
      </c>
      <c r="F2420" t="inlineStr">
        <is>
          <t>Sveaskog</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58208-2024</t>
        </is>
      </c>
      <c r="B2421" s="1" t="n">
        <v>45632</v>
      </c>
      <c r="C2421" s="1" t="n">
        <v>45952</v>
      </c>
      <c r="D2421" t="inlineStr">
        <is>
          <t>ÖREBRO LÄN</t>
        </is>
      </c>
      <c r="E2421" t="inlineStr">
        <is>
          <t>ÖREBRO</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21522-2024</t>
        </is>
      </c>
      <c r="B2422" s="1" t="n">
        <v>45441</v>
      </c>
      <c r="C2422" s="1" t="n">
        <v>45952</v>
      </c>
      <c r="D2422" t="inlineStr">
        <is>
          <t>ÖREBRO LÄN</t>
        </is>
      </c>
      <c r="E2422" t="inlineStr">
        <is>
          <t>LAXÅ</t>
        </is>
      </c>
      <c r="G2422" t="n">
        <v>4.7</v>
      </c>
      <c r="H2422" t="n">
        <v>0</v>
      </c>
      <c r="I2422" t="n">
        <v>0</v>
      </c>
      <c r="J2422" t="n">
        <v>0</v>
      </c>
      <c r="K2422" t="n">
        <v>0</v>
      </c>
      <c r="L2422" t="n">
        <v>0</v>
      </c>
      <c r="M2422" t="n">
        <v>0</v>
      </c>
      <c r="N2422" t="n">
        <v>0</v>
      </c>
      <c r="O2422" t="n">
        <v>0</v>
      </c>
      <c r="P2422" t="n">
        <v>0</v>
      </c>
      <c r="Q2422" t="n">
        <v>0</v>
      </c>
      <c r="R2422" s="2" t="inlineStr"/>
    </row>
    <row r="2423" ht="15" customHeight="1">
      <c r="A2423" t="inlineStr">
        <is>
          <t>A 21548-2024</t>
        </is>
      </c>
      <c r="B2423" s="1" t="n">
        <v>45441.62837962963</v>
      </c>
      <c r="C2423" s="1" t="n">
        <v>45952</v>
      </c>
      <c r="D2423" t="inlineStr">
        <is>
          <t>ÖREBRO LÄN</t>
        </is>
      </c>
      <c r="E2423" t="inlineStr">
        <is>
          <t>LAXÅ</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56871-2021</t>
        </is>
      </c>
      <c r="B2424" s="1" t="n">
        <v>44481.78949074074</v>
      </c>
      <c r="C2424" s="1" t="n">
        <v>45952</v>
      </c>
      <c r="D2424" t="inlineStr">
        <is>
          <t>ÖREBRO LÄN</t>
        </is>
      </c>
      <c r="E2424" t="inlineStr">
        <is>
          <t>NORA</t>
        </is>
      </c>
      <c r="G2424" t="n">
        <v>2.6</v>
      </c>
      <c r="H2424" t="n">
        <v>0</v>
      </c>
      <c r="I2424" t="n">
        <v>0</v>
      </c>
      <c r="J2424" t="n">
        <v>0</v>
      </c>
      <c r="K2424" t="n">
        <v>0</v>
      </c>
      <c r="L2424" t="n">
        <v>0</v>
      </c>
      <c r="M2424" t="n">
        <v>0</v>
      </c>
      <c r="N2424" t="n">
        <v>0</v>
      </c>
      <c r="O2424" t="n">
        <v>0</v>
      </c>
      <c r="P2424" t="n">
        <v>0</v>
      </c>
      <c r="Q2424" t="n">
        <v>0</v>
      </c>
      <c r="R2424" s="2" t="inlineStr"/>
    </row>
    <row r="2425" ht="15" customHeight="1">
      <c r="A2425" t="inlineStr">
        <is>
          <t>A 38861-2025</t>
        </is>
      </c>
      <c r="B2425" s="1" t="n">
        <v>45887.56101851852</v>
      </c>
      <c r="C2425" s="1" t="n">
        <v>45952</v>
      </c>
      <c r="D2425" t="inlineStr">
        <is>
          <t>ÖREBRO LÄN</t>
        </is>
      </c>
      <c r="E2425" t="inlineStr">
        <is>
          <t>LINDESBERG</t>
        </is>
      </c>
      <c r="F2425" t="inlineStr">
        <is>
          <t>Sveaskog</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5784-2025</t>
        </is>
      </c>
      <c r="B2426" s="1" t="n">
        <v>45694</v>
      </c>
      <c r="C2426" s="1" t="n">
        <v>45952</v>
      </c>
      <c r="D2426" t="inlineStr">
        <is>
          <t>ÖREBRO LÄN</t>
        </is>
      </c>
      <c r="E2426" t="inlineStr">
        <is>
          <t>LINDESBERG</t>
        </is>
      </c>
      <c r="F2426" t="inlineStr">
        <is>
          <t>Allmännings- och besparingsskogar</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55756-2023</t>
        </is>
      </c>
      <c r="B2427" s="1" t="n">
        <v>45239</v>
      </c>
      <c r="C2427" s="1" t="n">
        <v>45952</v>
      </c>
      <c r="D2427" t="inlineStr">
        <is>
          <t>ÖREBRO LÄN</t>
        </is>
      </c>
      <c r="E2427" t="inlineStr">
        <is>
          <t>HÄLLEFORS</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35060-2024</t>
        </is>
      </c>
      <c r="B2428" s="1" t="n">
        <v>45527</v>
      </c>
      <c r="C2428" s="1" t="n">
        <v>45952</v>
      </c>
      <c r="D2428" t="inlineStr">
        <is>
          <t>ÖREBRO LÄN</t>
        </is>
      </c>
      <c r="E2428" t="inlineStr">
        <is>
          <t>KARLSKOGA</t>
        </is>
      </c>
      <c r="F2428" t="inlineStr">
        <is>
          <t>Kyrkan</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20729-2025</t>
        </is>
      </c>
      <c r="B2429" s="1" t="n">
        <v>45776.51268518518</v>
      </c>
      <c r="C2429" s="1" t="n">
        <v>45952</v>
      </c>
      <c r="D2429" t="inlineStr">
        <is>
          <t>ÖREBRO LÄN</t>
        </is>
      </c>
      <c r="E2429" t="inlineStr">
        <is>
          <t>HALLSBERG</t>
        </is>
      </c>
      <c r="F2429" t="inlineStr">
        <is>
          <t>Sveaskog</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50754-2023</t>
        </is>
      </c>
      <c r="B2430" s="1" t="n">
        <v>45217</v>
      </c>
      <c r="C2430" s="1" t="n">
        <v>45952</v>
      </c>
      <c r="D2430" t="inlineStr">
        <is>
          <t>ÖREBRO LÄN</t>
        </is>
      </c>
      <c r="E2430" t="inlineStr">
        <is>
          <t>HÄLLEFORS</t>
        </is>
      </c>
      <c r="F2430" t="inlineStr">
        <is>
          <t>Bergvik skog väst AB</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20804-2025</t>
        </is>
      </c>
      <c r="B2431" s="1" t="n">
        <v>45776.65518518518</v>
      </c>
      <c r="C2431" s="1" t="n">
        <v>45952</v>
      </c>
      <c r="D2431" t="inlineStr">
        <is>
          <t>ÖREBRO LÄN</t>
        </is>
      </c>
      <c r="E2431" t="inlineStr">
        <is>
          <t>LINDESBERG</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21097-2025</t>
        </is>
      </c>
      <c r="B2432" s="1" t="n">
        <v>45777.63863425926</v>
      </c>
      <c r="C2432" s="1" t="n">
        <v>45952</v>
      </c>
      <c r="D2432" t="inlineStr">
        <is>
          <t>ÖREBRO LÄN</t>
        </is>
      </c>
      <c r="E2432" t="inlineStr">
        <is>
          <t>ÖREBRO</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21099-2025</t>
        </is>
      </c>
      <c r="B2433" s="1" t="n">
        <v>45777.64827546296</v>
      </c>
      <c r="C2433" s="1" t="n">
        <v>45952</v>
      </c>
      <c r="D2433" t="inlineStr">
        <is>
          <t>ÖREBRO LÄN</t>
        </is>
      </c>
      <c r="E2433" t="inlineStr">
        <is>
          <t>HÄLLEFORS</t>
        </is>
      </c>
      <c r="F2433" t="inlineStr">
        <is>
          <t>Kyrkan</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71266-2021</t>
        </is>
      </c>
      <c r="B2434" s="1" t="n">
        <v>44539</v>
      </c>
      <c r="C2434" s="1" t="n">
        <v>45952</v>
      </c>
      <c r="D2434" t="inlineStr">
        <is>
          <t>ÖREBRO LÄN</t>
        </is>
      </c>
      <c r="E2434" t="inlineStr">
        <is>
          <t>ÖREBRO</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71267-2021</t>
        </is>
      </c>
      <c r="B2435" s="1" t="n">
        <v>44539</v>
      </c>
      <c r="C2435" s="1" t="n">
        <v>45952</v>
      </c>
      <c r="D2435" t="inlineStr">
        <is>
          <t>ÖREBRO LÄN</t>
        </is>
      </c>
      <c r="E2435" t="inlineStr">
        <is>
          <t>ÖREBRO</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71280-2021</t>
        </is>
      </c>
      <c r="B2436" s="1" t="n">
        <v>44539</v>
      </c>
      <c r="C2436" s="1" t="n">
        <v>45952</v>
      </c>
      <c r="D2436" t="inlineStr">
        <is>
          <t>ÖREBRO LÄN</t>
        </is>
      </c>
      <c r="E2436" t="inlineStr">
        <is>
          <t>ÖREBRO</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42918-2024</t>
        </is>
      </c>
      <c r="B2437" s="1" t="n">
        <v>45567.27908564815</v>
      </c>
      <c r="C2437" s="1" t="n">
        <v>45952</v>
      </c>
      <c r="D2437" t="inlineStr">
        <is>
          <t>ÖREBRO LÄN</t>
        </is>
      </c>
      <c r="E2437" t="inlineStr">
        <is>
          <t>HÄLLEFORS</t>
        </is>
      </c>
      <c r="F2437" t="inlineStr">
        <is>
          <t>Bergvik skog väst AB</t>
        </is>
      </c>
      <c r="G2437" t="n">
        <v>3.8</v>
      </c>
      <c r="H2437" t="n">
        <v>0</v>
      </c>
      <c r="I2437" t="n">
        <v>0</v>
      </c>
      <c r="J2437" t="n">
        <v>0</v>
      </c>
      <c r="K2437" t="n">
        <v>0</v>
      </c>
      <c r="L2437" t="n">
        <v>0</v>
      </c>
      <c r="M2437" t="n">
        <v>0</v>
      </c>
      <c r="N2437" t="n">
        <v>0</v>
      </c>
      <c r="O2437" t="n">
        <v>0</v>
      </c>
      <c r="P2437" t="n">
        <v>0</v>
      </c>
      <c r="Q2437" t="n">
        <v>0</v>
      </c>
      <c r="R2437" s="2" t="inlineStr"/>
    </row>
    <row r="2438" ht="15" customHeight="1">
      <c r="A2438" t="inlineStr">
        <is>
          <t>A 57316-2022</t>
        </is>
      </c>
      <c r="B2438" s="1" t="n">
        <v>44896.32079861111</v>
      </c>
      <c r="C2438" s="1" t="n">
        <v>45952</v>
      </c>
      <c r="D2438" t="inlineStr">
        <is>
          <t>ÖREBRO LÄN</t>
        </is>
      </c>
      <c r="E2438" t="inlineStr">
        <is>
          <t>NORA</t>
        </is>
      </c>
      <c r="F2438" t="inlineStr">
        <is>
          <t>Sveaskog</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44983-2024</t>
        </is>
      </c>
      <c r="B2439" s="1" t="n">
        <v>45575</v>
      </c>
      <c r="C2439" s="1" t="n">
        <v>45952</v>
      </c>
      <c r="D2439" t="inlineStr">
        <is>
          <t>ÖREBRO LÄN</t>
        </is>
      </c>
      <c r="E2439" t="inlineStr">
        <is>
          <t>LJUSNARSBERG</t>
        </is>
      </c>
      <c r="F2439" t="inlineStr">
        <is>
          <t>Bergvik skog väst AB</t>
        </is>
      </c>
      <c r="G2439" t="n">
        <v>8.199999999999999</v>
      </c>
      <c r="H2439" t="n">
        <v>0</v>
      </c>
      <c r="I2439" t="n">
        <v>0</v>
      </c>
      <c r="J2439" t="n">
        <v>0</v>
      </c>
      <c r="K2439" t="n">
        <v>0</v>
      </c>
      <c r="L2439" t="n">
        <v>0</v>
      </c>
      <c r="M2439" t="n">
        <v>0</v>
      </c>
      <c r="N2439" t="n">
        <v>0</v>
      </c>
      <c r="O2439" t="n">
        <v>0</v>
      </c>
      <c r="P2439" t="n">
        <v>0</v>
      </c>
      <c r="Q2439" t="n">
        <v>0</v>
      </c>
      <c r="R2439" s="2" t="inlineStr"/>
    </row>
    <row r="2440" ht="15" customHeight="1">
      <c r="A2440" t="inlineStr">
        <is>
          <t>A 45027-2024</t>
        </is>
      </c>
      <c r="B2440" s="1" t="n">
        <v>45575</v>
      </c>
      <c r="C2440" s="1" t="n">
        <v>45952</v>
      </c>
      <c r="D2440" t="inlineStr">
        <is>
          <t>ÖREBRO LÄN</t>
        </is>
      </c>
      <c r="E2440" t="inlineStr">
        <is>
          <t>ÖREBRO</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38429-2023</t>
        </is>
      </c>
      <c r="B2441" s="1" t="n">
        <v>45162</v>
      </c>
      <c r="C2441" s="1" t="n">
        <v>45952</v>
      </c>
      <c r="D2441" t="inlineStr">
        <is>
          <t>ÖREBRO LÄN</t>
        </is>
      </c>
      <c r="E2441" t="inlineStr">
        <is>
          <t>HÄLLEFORS</t>
        </is>
      </c>
      <c r="F2441" t="inlineStr">
        <is>
          <t>Bergvik skog väst AB</t>
        </is>
      </c>
      <c r="G2441" t="n">
        <v>6</v>
      </c>
      <c r="H2441" t="n">
        <v>0</v>
      </c>
      <c r="I2441" t="n">
        <v>0</v>
      </c>
      <c r="J2441" t="n">
        <v>0</v>
      </c>
      <c r="K2441" t="n">
        <v>0</v>
      </c>
      <c r="L2441" t="n">
        <v>0</v>
      </c>
      <c r="M2441" t="n">
        <v>0</v>
      </c>
      <c r="N2441" t="n">
        <v>0</v>
      </c>
      <c r="O2441" t="n">
        <v>0</v>
      </c>
      <c r="P2441" t="n">
        <v>0</v>
      </c>
      <c r="Q2441" t="n">
        <v>0</v>
      </c>
      <c r="R2441" s="2" t="inlineStr"/>
    </row>
    <row r="2442" ht="15" customHeight="1">
      <c r="A2442" t="inlineStr">
        <is>
          <t>A 43843-2023</t>
        </is>
      </c>
      <c r="B2442" s="1" t="n">
        <v>45187</v>
      </c>
      <c r="C2442" s="1" t="n">
        <v>45952</v>
      </c>
      <c r="D2442" t="inlineStr">
        <is>
          <t>ÖREBRO LÄN</t>
        </is>
      </c>
      <c r="E2442" t="inlineStr">
        <is>
          <t>NORA</t>
        </is>
      </c>
      <c r="F2442" t="inlineStr">
        <is>
          <t>Sveaskog</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43919-2023</t>
        </is>
      </c>
      <c r="B2443" s="1" t="n">
        <v>45182</v>
      </c>
      <c r="C2443" s="1" t="n">
        <v>45952</v>
      </c>
      <c r="D2443" t="inlineStr">
        <is>
          <t>ÖREBRO LÄN</t>
        </is>
      </c>
      <c r="E2443" t="inlineStr">
        <is>
          <t>NORA</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63825-2023</t>
        </is>
      </c>
      <c r="B2444" s="1" t="n">
        <v>45278</v>
      </c>
      <c r="C2444" s="1" t="n">
        <v>45952</v>
      </c>
      <c r="D2444" t="inlineStr">
        <is>
          <t>ÖREBRO LÄN</t>
        </is>
      </c>
      <c r="E2444" t="inlineStr">
        <is>
          <t>NORA</t>
        </is>
      </c>
      <c r="F2444" t="inlineStr">
        <is>
          <t>Sveaskog</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65856-2020</t>
        </is>
      </c>
      <c r="B2445" s="1" t="n">
        <v>44174</v>
      </c>
      <c r="C2445" s="1" t="n">
        <v>45952</v>
      </c>
      <c r="D2445" t="inlineStr">
        <is>
          <t>ÖREBRO LÄN</t>
        </is>
      </c>
      <c r="E2445" t="inlineStr">
        <is>
          <t>HÄLLEFORS</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16448-2025</t>
        </is>
      </c>
      <c r="B2446" s="1" t="n">
        <v>45751.5056712963</v>
      </c>
      <c r="C2446" s="1" t="n">
        <v>45952</v>
      </c>
      <c r="D2446" t="inlineStr">
        <is>
          <t>ÖREBRO LÄN</t>
        </is>
      </c>
      <c r="E2446" t="inlineStr">
        <is>
          <t>LINDESBERG</t>
        </is>
      </c>
      <c r="G2446" t="n">
        <v>20.1</v>
      </c>
      <c r="H2446" t="n">
        <v>0</v>
      </c>
      <c r="I2446" t="n">
        <v>0</v>
      </c>
      <c r="J2446" t="n">
        <v>0</v>
      </c>
      <c r="K2446" t="n">
        <v>0</v>
      </c>
      <c r="L2446" t="n">
        <v>0</v>
      </c>
      <c r="M2446" t="n">
        <v>0</v>
      </c>
      <c r="N2446" t="n">
        <v>0</v>
      </c>
      <c r="O2446" t="n">
        <v>0</v>
      </c>
      <c r="P2446" t="n">
        <v>0</v>
      </c>
      <c r="Q2446" t="n">
        <v>0</v>
      </c>
      <c r="R2446" s="2" t="inlineStr"/>
    </row>
    <row r="2447" ht="15" customHeight="1">
      <c r="A2447" t="inlineStr">
        <is>
          <t>A 54411-2022</t>
        </is>
      </c>
      <c r="B2447" s="1" t="n">
        <v>44879</v>
      </c>
      <c r="C2447" s="1" t="n">
        <v>45952</v>
      </c>
      <c r="D2447" t="inlineStr">
        <is>
          <t>ÖREBRO LÄN</t>
        </is>
      </c>
      <c r="E2447" t="inlineStr">
        <is>
          <t>LAXÅ</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54432-2023</t>
        </is>
      </c>
      <c r="B2448" s="1" t="n">
        <v>45233.42121527778</v>
      </c>
      <c r="C2448" s="1" t="n">
        <v>45952</v>
      </c>
      <c r="D2448" t="inlineStr">
        <is>
          <t>ÖREBRO LÄN</t>
        </is>
      </c>
      <c r="E2448" t="inlineStr">
        <is>
          <t>LINDESBERG</t>
        </is>
      </c>
      <c r="F2448" t="inlineStr">
        <is>
          <t>Sveaskog</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21247-2025</t>
        </is>
      </c>
      <c r="B2449" s="1" t="n">
        <v>45779.57381944444</v>
      </c>
      <c r="C2449" s="1" t="n">
        <v>45952</v>
      </c>
      <c r="D2449" t="inlineStr">
        <is>
          <t>ÖREBRO LÄN</t>
        </is>
      </c>
      <c r="E2449" t="inlineStr">
        <is>
          <t>KARLSKOGA</t>
        </is>
      </c>
      <c r="F2449" t="inlineStr">
        <is>
          <t>Övriga Aktiebolag</t>
        </is>
      </c>
      <c r="G2449" t="n">
        <v>2.9</v>
      </c>
      <c r="H2449" t="n">
        <v>0</v>
      </c>
      <c r="I2449" t="n">
        <v>0</v>
      </c>
      <c r="J2449" t="n">
        <v>0</v>
      </c>
      <c r="K2449" t="n">
        <v>0</v>
      </c>
      <c r="L2449" t="n">
        <v>0</v>
      </c>
      <c r="M2449" t="n">
        <v>0</v>
      </c>
      <c r="N2449" t="n">
        <v>0</v>
      </c>
      <c r="O2449" t="n">
        <v>0</v>
      </c>
      <c r="P2449" t="n">
        <v>0</v>
      </c>
      <c r="Q2449" t="n">
        <v>0</v>
      </c>
      <c r="R2449" s="2" t="inlineStr"/>
    </row>
    <row r="2450" ht="15" customHeight="1">
      <c r="A2450" t="inlineStr">
        <is>
          <t>A 16097-2023</t>
        </is>
      </c>
      <c r="B2450" s="1" t="n">
        <v>45027.51179398148</v>
      </c>
      <c r="C2450" s="1" t="n">
        <v>45952</v>
      </c>
      <c r="D2450" t="inlineStr">
        <is>
          <t>ÖREBRO LÄN</t>
        </is>
      </c>
      <c r="E2450" t="inlineStr">
        <is>
          <t>ASKERSUND</t>
        </is>
      </c>
      <c r="G2450" t="n">
        <v>2.6</v>
      </c>
      <c r="H2450" t="n">
        <v>0</v>
      </c>
      <c r="I2450" t="n">
        <v>0</v>
      </c>
      <c r="J2450" t="n">
        <v>0</v>
      </c>
      <c r="K2450" t="n">
        <v>0</v>
      </c>
      <c r="L2450" t="n">
        <v>0</v>
      </c>
      <c r="M2450" t="n">
        <v>0</v>
      </c>
      <c r="N2450" t="n">
        <v>0</v>
      </c>
      <c r="O2450" t="n">
        <v>0</v>
      </c>
      <c r="P2450" t="n">
        <v>0</v>
      </c>
      <c r="Q2450" t="n">
        <v>0</v>
      </c>
      <c r="R2450" s="2" t="inlineStr"/>
    </row>
    <row r="2451" ht="15" customHeight="1">
      <c r="A2451" t="inlineStr">
        <is>
          <t>A 16140-2023</t>
        </is>
      </c>
      <c r="B2451" s="1" t="n">
        <v>45027.6433912037</v>
      </c>
      <c r="C2451" s="1" t="n">
        <v>45952</v>
      </c>
      <c r="D2451" t="inlineStr">
        <is>
          <t>ÖREBRO LÄN</t>
        </is>
      </c>
      <c r="E2451" t="inlineStr">
        <is>
          <t>ÖREBRO</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21983-2021</t>
        </is>
      </c>
      <c r="B2452" s="1" t="n">
        <v>44323</v>
      </c>
      <c r="C2452" s="1" t="n">
        <v>45952</v>
      </c>
      <c r="D2452" t="inlineStr">
        <is>
          <t>ÖREBRO LÄN</t>
        </is>
      </c>
      <c r="E2452" t="inlineStr">
        <is>
          <t>ÖREBRO</t>
        </is>
      </c>
      <c r="F2452" t="inlineStr">
        <is>
          <t>Övriga Aktiebolag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21210-2025</t>
        </is>
      </c>
      <c r="B2453" s="1" t="n">
        <v>45779.48717592593</v>
      </c>
      <c r="C2453" s="1" t="n">
        <v>45952</v>
      </c>
      <c r="D2453" t="inlineStr">
        <is>
          <t>ÖREBRO LÄN</t>
        </is>
      </c>
      <c r="E2453" t="inlineStr">
        <is>
          <t>KARLSKOGA</t>
        </is>
      </c>
      <c r="F2453" t="inlineStr">
        <is>
          <t>Sveaskog</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24818-2024</t>
        </is>
      </c>
      <c r="B2454" s="1" t="n">
        <v>45461.33123842593</v>
      </c>
      <c r="C2454" s="1" t="n">
        <v>45952</v>
      </c>
      <c r="D2454" t="inlineStr">
        <is>
          <t>ÖREBRO LÄN</t>
        </is>
      </c>
      <c r="E2454" t="inlineStr">
        <is>
          <t>NORA</t>
        </is>
      </c>
      <c r="G2454" t="n">
        <v>9</v>
      </c>
      <c r="H2454" t="n">
        <v>0</v>
      </c>
      <c r="I2454" t="n">
        <v>0</v>
      </c>
      <c r="J2454" t="n">
        <v>0</v>
      </c>
      <c r="K2454" t="n">
        <v>0</v>
      </c>
      <c r="L2454" t="n">
        <v>0</v>
      </c>
      <c r="M2454" t="n">
        <v>0</v>
      </c>
      <c r="N2454" t="n">
        <v>0</v>
      </c>
      <c r="O2454" t="n">
        <v>0</v>
      </c>
      <c r="P2454" t="n">
        <v>0</v>
      </c>
      <c r="Q2454" t="n">
        <v>0</v>
      </c>
      <c r="R2454" s="2" t="inlineStr"/>
    </row>
    <row r="2455" ht="15" customHeight="1">
      <c r="A2455" t="inlineStr">
        <is>
          <t>A 62497-2023</t>
        </is>
      </c>
      <c r="B2455" s="1" t="n">
        <v>45268.59935185185</v>
      </c>
      <c r="C2455" s="1" t="n">
        <v>45952</v>
      </c>
      <c r="D2455" t="inlineStr">
        <is>
          <t>ÖREBRO LÄN</t>
        </is>
      </c>
      <c r="E2455" t="inlineStr">
        <is>
          <t>ÖREBRO</t>
        </is>
      </c>
      <c r="F2455" t="inlineStr">
        <is>
          <t>Övriga Aktiebolag</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5373-2024</t>
        </is>
      </c>
      <c r="B2456" s="1" t="n">
        <v>45331</v>
      </c>
      <c r="C2456" s="1" t="n">
        <v>45952</v>
      </c>
      <c r="D2456" t="inlineStr">
        <is>
          <t>ÖREBRO LÄN</t>
        </is>
      </c>
      <c r="E2456" t="inlineStr">
        <is>
          <t>LEKEBERG</t>
        </is>
      </c>
      <c r="G2456" t="n">
        <v>5.8</v>
      </c>
      <c r="H2456" t="n">
        <v>0</v>
      </c>
      <c r="I2456" t="n">
        <v>0</v>
      </c>
      <c r="J2456" t="n">
        <v>0</v>
      </c>
      <c r="K2456" t="n">
        <v>0</v>
      </c>
      <c r="L2456" t="n">
        <v>0</v>
      </c>
      <c r="M2456" t="n">
        <v>0</v>
      </c>
      <c r="N2456" t="n">
        <v>0</v>
      </c>
      <c r="O2456" t="n">
        <v>0</v>
      </c>
      <c r="P2456" t="n">
        <v>0</v>
      </c>
      <c r="Q2456" t="n">
        <v>0</v>
      </c>
      <c r="R2456" s="2" t="inlineStr"/>
    </row>
    <row r="2457" ht="15" customHeight="1">
      <c r="A2457" t="inlineStr">
        <is>
          <t>A 5417-2024</t>
        </is>
      </c>
      <c r="B2457" s="1" t="n">
        <v>45331.64133101852</v>
      </c>
      <c r="C2457" s="1" t="n">
        <v>45952</v>
      </c>
      <c r="D2457" t="inlineStr">
        <is>
          <t>ÖREBRO LÄN</t>
        </is>
      </c>
      <c r="E2457" t="inlineStr">
        <is>
          <t>HALLSBERG</t>
        </is>
      </c>
      <c r="F2457" t="inlineStr">
        <is>
          <t>Allmännings- och besparingsskogar</t>
        </is>
      </c>
      <c r="G2457" t="n">
        <v>3</v>
      </c>
      <c r="H2457" t="n">
        <v>0</v>
      </c>
      <c r="I2457" t="n">
        <v>0</v>
      </c>
      <c r="J2457" t="n">
        <v>0</v>
      </c>
      <c r="K2457" t="n">
        <v>0</v>
      </c>
      <c r="L2457" t="n">
        <v>0</v>
      </c>
      <c r="M2457" t="n">
        <v>0</v>
      </c>
      <c r="N2457" t="n">
        <v>0</v>
      </c>
      <c r="O2457" t="n">
        <v>0</v>
      </c>
      <c r="P2457" t="n">
        <v>0</v>
      </c>
      <c r="Q2457" t="n">
        <v>0</v>
      </c>
      <c r="R2457" s="2" t="inlineStr"/>
    </row>
    <row r="2458" ht="15" customHeight="1">
      <c r="A2458" t="inlineStr">
        <is>
          <t>A 33294-2023</t>
        </is>
      </c>
      <c r="B2458" s="1" t="n">
        <v>45127</v>
      </c>
      <c r="C2458" s="1" t="n">
        <v>45952</v>
      </c>
      <c r="D2458" t="inlineStr">
        <is>
          <t>ÖREBRO LÄN</t>
        </is>
      </c>
      <c r="E2458" t="inlineStr">
        <is>
          <t>ÖREBRO</t>
        </is>
      </c>
      <c r="F2458" t="inlineStr">
        <is>
          <t>Övriga Aktiebolag</t>
        </is>
      </c>
      <c r="G2458" t="n">
        <v>6.7</v>
      </c>
      <c r="H2458" t="n">
        <v>0</v>
      </c>
      <c r="I2458" t="n">
        <v>0</v>
      </c>
      <c r="J2458" t="n">
        <v>0</v>
      </c>
      <c r="K2458" t="n">
        <v>0</v>
      </c>
      <c r="L2458" t="n">
        <v>0</v>
      </c>
      <c r="M2458" t="n">
        <v>0</v>
      </c>
      <c r="N2458" t="n">
        <v>0</v>
      </c>
      <c r="O2458" t="n">
        <v>0</v>
      </c>
      <c r="P2458" t="n">
        <v>0</v>
      </c>
      <c r="Q2458" t="n">
        <v>0</v>
      </c>
      <c r="R2458" s="2" t="inlineStr"/>
    </row>
    <row r="2459" ht="15" customHeight="1">
      <c r="A2459" t="inlineStr">
        <is>
          <t>A 7191-2025</t>
        </is>
      </c>
      <c r="B2459" s="1" t="n">
        <v>45702</v>
      </c>
      <c r="C2459" s="1" t="n">
        <v>45952</v>
      </c>
      <c r="D2459" t="inlineStr">
        <is>
          <t>ÖREBRO LÄN</t>
        </is>
      </c>
      <c r="E2459" t="inlineStr">
        <is>
          <t>HALLSBERG</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16615-2025</t>
        </is>
      </c>
      <c r="B2460" s="1" t="n">
        <v>45754.28462962963</v>
      </c>
      <c r="C2460" s="1" t="n">
        <v>45952</v>
      </c>
      <c r="D2460" t="inlineStr">
        <is>
          <t>ÖREBRO LÄN</t>
        </is>
      </c>
      <c r="E2460" t="inlineStr">
        <is>
          <t>LJUSNARSBERG</t>
        </is>
      </c>
      <c r="G2460" t="n">
        <v>3.3</v>
      </c>
      <c r="H2460" t="n">
        <v>0</v>
      </c>
      <c r="I2460" t="n">
        <v>0</v>
      </c>
      <c r="J2460" t="n">
        <v>0</v>
      </c>
      <c r="K2460" t="n">
        <v>0</v>
      </c>
      <c r="L2460" t="n">
        <v>0</v>
      </c>
      <c r="M2460" t="n">
        <v>0</v>
      </c>
      <c r="N2460" t="n">
        <v>0</v>
      </c>
      <c r="O2460" t="n">
        <v>0</v>
      </c>
      <c r="P2460" t="n">
        <v>0</v>
      </c>
      <c r="Q2460" t="n">
        <v>0</v>
      </c>
      <c r="R2460" s="2" t="inlineStr"/>
    </row>
    <row r="2461" ht="15" customHeight="1">
      <c r="A2461" t="inlineStr">
        <is>
          <t>A 30806-2024</t>
        </is>
      </c>
      <c r="B2461" s="1" t="n">
        <v>45497.38224537037</v>
      </c>
      <c r="C2461" s="1" t="n">
        <v>45952</v>
      </c>
      <c r="D2461" t="inlineStr">
        <is>
          <t>ÖREBRO LÄN</t>
        </is>
      </c>
      <c r="E2461" t="inlineStr">
        <is>
          <t>KUMLA</t>
        </is>
      </c>
      <c r="G2461" t="n">
        <v>2.9</v>
      </c>
      <c r="H2461" t="n">
        <v>0</v>
      </c>
      <c r="I2461" t="n">
        <v>0</v>
      </c>
      <c r="J2461" t="n">
        <v>0</v>
      </c>
      <c r="K2461" t="n">
        <v>0</v>
      </c>
      <c r="L2461" t="n">
        <v>0</v>
      </c>
      <c r="M2461" t="n">
        <v>0</v>
      </c>
      <c r="N2461" t="n">
        <v>0</v>
      </c>
      <c r="O2461" t="n">
        <v>0</v>
      </c>
      <c r="P2461" t="n">
        <v>0</v>
      </c>
      <c r="Q2461" t="n">
        <v>0</v>
      </c>
      <c r="R2461" s="2" t="inlineStr"/>
    </row>
    <row r="2462" ht="15" customHeight="1">
      <c r="A2462" t="inlineStr">
        <is>
          <t>A 17112-2025</t>
        </is>
      </c>
      <c r="B2462" s="1" t="n">
        <v>45755</v>
      </c>
      <c r="C2462" s="1" t="n">
        <v>45952</v>
      </c>
      <c r="D2462" t="inlineStr">
        <is>
          <t>ÖREBRO LÄN</t>
        </is>
      </c>
      <c r="E2462" t="inlineStr">
        <is>
          <t>HÄLLEFORS</t>
        </is>
      </c>
      <c r="F2462" t="inlineStr">
        <is>
          <t>Bergvik skog väst AB</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8278-2023</t>
        </is>
      </c>
      <c r="B2463" s="1" t="n">
        <v>44974.64246527778</v>
      </c>
      <c r="C2463" s="1" t="n">
        <v>45952</v>
      </c>
      <c r="D2463" t="inlineStr">
        <is>
          <t>ÖREBRO LÄN</t>
        </is>
      </c>
      <c r="E2463" t="inlineStr">
        <is>
          <t>HALLSBERG</t>
        </is>
      </c>
      <c r="F2463" t="inlineStr">
        <is>
          <t>Kommuner</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21812-2025</t>
        </is>
      </c>
      <c r="B2464" s="1" t="n">
        <v>45783.71833333333</v>
      </c>
      <c r="C2464" s="1" t="n">
        <v>45952</v>
      </c>
      <c r="D2464" t="inlineStr">
        <is>
          <t>ÖREBRO LÄN</t>
        </is>
      </c>
      <c r="E2464" t="inlineStr">
        <is>
          <t>LINDESBERG</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18891-2025</t>
        </is>
      </c>
      <c r="B2465" s="1" t="n">
        <v>45764</v>
      </c>
      <c r="C2465" s="1" t="n">
        <v>45952</v>
      </c>
      <c r="D2465" t="inlineStr">
        <is>
          <t>ÖREBRO LÄN</t>
        </is>
      </c>
      <c r="E2465" t="inlineStr">
        <is>
          <t>HÄLLEFORS</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31162-2023</t>
        </is>
      </c>
      <c r="B2466" s="1" t="n">
        <v>45103</v>
      </c>
      <c r="C2466" s="1" t="n">
        <v>45952</v>
      </c>
      <c r="D2466" t="inlineStr">
        <is>
          <t>ÖREBRO LÄN</t>
        </is>
      </c>
      <c r="E2466" t="inlineStr">
        <is>
          <t>LJUSNARSBERG</t>
        </is>
      </c>
      <c r="F2466" t="inlineStr">
        <is>
          <t>Bergvik skog väst AB</t>
        </is>
      </c>
      <c r="G2466" t="n">
        <v>10.4</v>
      </c>
      <c r="H2466" t="n">
        <v>0</v>
      </c>
      <c r="I2466" t="n">
        <v>0</v>
      </c>
      <c r="J2466" t="n">
        <v>0</v>
      </c>
      <c r="K2466" t="n">
        <v>0</v>
      </c>
      <c r="L2466" t="n">
        <v>0</v>
      </c>
      <c r="M2466" t="n">
        <v>0</v>
      </c>
      <c r="N2466" t="n">
        <v>0</v>
      </c>
      <c r="O2466" t="n">
        <v>0</v>
      </c>
      <c r="P2466" t="n">
        <v>0</v>
      </c>
      <c r="Q2466" t="n">
        <v>0</v>
      </c>
      <c r="R2466" s="2" t="inlineStr"/>
    </row>
    <row r="2467" ht="15" customHeight="1">
      <c r="A2467" t="inlineStr">
        <is>
          <t>A 45694-2023</t>
        </is>
      </c>
      <c r="B2467" s="1" t="n">
        <v>45195</v>
      </c>
      <c r="C2467" s="1" t="n">
        <v>45952</v>
      </c>
      <c r="D2467" t="inlineStr">
        <is>
          <t>ÖREBRO LÄN</t>
        </is>
      </c>
      <c r="E2467" t="inlineStr">
        <is>
          <t>HÄLLEFORS</t>
        </is>
      </c>
      <c r="G2467" t="n">
        <v>10.8</v>
      </c>
      <c r="H2467" t="n">
        <v>0</v>
      </c>
      <c r="I2467" t="n">
        <v>0</v>
      </c>
      <c r="J2467" t="n">
        <v>0</v>
      </c>
      <c r="K2467" t="n">
        <v>0</v>
      </c>
      <c r="L2467" t="n">
        <v>0</v>
      </c>
      <c r="M2467" t="n">
        <v>0</v>
      </c>
      <c r="N2467" t="n">
        <v>0</v>
      </c>
      <c r="O2467" t="n">
        <v>0</v>
      </c>
      <c r="P2467" t="n">
        <v>0</v>
      </c>
      <c r="Q2467" t="n">
        <v>0</v>
      </c>
      <c r="R2467" s="2" t="inlineStr"/>
    </row>
    <row r="2468" ht="15" customHeight="1">
      <c r="A2468" t="inlineStr">
        <is>
          <t>A 50416-2024</t>
        </is>
      </c>
      <c r="B2468" s="1" t="n">
        <v>45601.37609953704</v>
      </c>
      <c r="C2468" s="1" t="n">
        <v>45952</v>
      </c>
      <c r="D2468" t="inlineStr">
        <is>
          <t>ÖREBRO LÄN</t>
        </is>
      </c>
      <c r="E2468" t="inlineStr">
        <is>
          <t>ASKERSUND</t>
        </is>
      </c>
      <c r="G2468" t="n">
        <v>6</v>
      </c>
      <c r="H2468" t="n">
        <v>0</v>
      </c>
      <c r="I2468" t="n">
        <v>0</v>
      </c>
      <c r="J2468" t="n">
        <v>0</v>
      </c>
      <c r="K2468" t="n">
        <v>0</v>
      </c>
      <c r="L2468" t="n">
        <v>0</v>
      </c>
      <c r="M2468" t="n">
        <v>0</v>
      </c>
      <c r="N2468" t="n">
        <v>0</v>
      </c>
      <c r="O2468" t="n">
        <v>0</v>
      </c>
      <c r="P2468" t="n">
        <v>0</v>
      </c>
      <c r="Q2468" t="n">
        <v>0</v>
      </c>
      <c r="R2468" s="2" t="inlineStr"/>
    </row>
    <row r="2469" ht="15" customHeight="1">
      <c r="A2469" t="inlineStr">
        <is>
          <t>A 9436-2023</t>
        </is>
      </c>
      <c r="B2469" s="1" t="n">
        <v>44981</v>
      </c>
      <c r="C2469" s="1" t="n">
        <v>45952</v>
      </c>
      <c r="D2469" t="inlineStr">
        <is>
          <t>ÖREBRO LÄN</t>
        </is>
      </c>
      <c r="E2469" t="inlineStr">
        <is>
          <t>LINDESBERG</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37042-2024</t>
        </is>
      </c>
      <c r="B2470" s="1" t="n">
        <v>45539</v>
      </c>
      <c r="C2470" s="1" t="n">
        <v>45952</v>
      </c>
      <c r="D2470" t="inlineStr">
        <is>
          <t>ÖREBRO LÄN</t>
        </is>
      </c>
      <c r="E2470" t="inlineStr">
        <is>
          <t>LEKEBERG</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11953-2024</t>
        </is>
      </c>
      <c r="B2471" s="1" t="n">
        <v>45376.70292824074</v>
      </c>
      <c r="C2471" s="1" t="n">
        <v>45952</v>
      </c>
      <c r="D2471" t="inlineStr">
        <is>
          <t>ÖREBRO LÄN</t>
        </is>
      </c>
      <c r="E2471" t="inlineStr">
        <is>
          <t>LINDESBERG</t>
        </is>
      </c>
      <c r="G2471" t="n">
        <v>5.7</v>
      </c>
      <c r="H2471" t="n">
        <v>0</v>
      </c>
      <c r="I2471" t="n">
        <v>0</v>
      </c>
      <c r="J2471" t="n">
        <v>0</v>
      </c>
      <c r="K2471" t="n">
        <v>0</v>
      </c>
      <c r="L2471" t="n">
        <v>0</v>
      </c>
      <c r="M2471" t="n">
        <v>0</v>
      </c>
      <c r="N2471" t="n">
        <v>0</v>
      </c>
      <c r="O2471" t="n">
        <v>0</v>
      </c>
      <c r="P2471" t="n">
        <v>0</v>
      </c>
      <c r="Q2471" t="n">
        <v>0</v>
      </c>
      <c r="R2471" s="2" t="inlineStr"/>
    </row>
    <row r="2472" ht="15" customHeight="1">
      <c r="A2472" t="inlineStr">
        <is>
          <t>A 11085-2023</t>
        </is>
      </c>
      <c r="B2472" s="1" t="n">
        <v>44986</v>
      </c>
      <c r="C2472" s="1" t="n">
        <v>45952</v>
      </c>
      <c r="D2472" t="inlineStr">
        <is>
          <t>ÖREBRO LÄN</t>
        </is>
      </c>
      <c r="E2472" t="inlineStr">
        <is>
          <t>DEGERFORS</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50170-2022</t>
        </is>
      </c>
      <c r="B2473" s="1" t="n">
        <v>44865.600625</v>
      </c>
      <c r="C2473" s="1" t="n">
        <v>45952</v>
      </c>
      <c r="D2473" t="inlineStr">
        <is>
          <t>ÖREBRO LÄN</t>
        </is>
      </c>
      <c r="E2473" t="inlineStr">
        <is>
          <t>LINDESBERG</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37605-2022</t>
        </is>
      </c>
      <c r="B2474" s="1" t="n">
        <v>44809</v>
      </c>
      <c r="C2474" s="1" t="n">
        <v>45952</v>
      </c>
      <c r="D2474" t="inlineStr">
        <is>
          <t>ÖREBRO LÄN</t>
        </is>
      </c>
      <c r="E2474" t="inlineStr">
        <is>
          <t>ASKERSUND</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60200-2024</t>
        </is>
      </c>
      <c r="B2475" s="1" t="n">
        <v>45642.66184027777</v>
      </c>
      <c r="C2475" s="1" t="n">
        <v>45952</v>
      </c>
      <c r="D2475" t="inlineStr">
        <is>
          <t>ÖREBRO LÄN</t>
        </is>
      </c>
      <c r="E2475" t="inlineStr">
        <is>
          <t>LINDESBERG</t>
        </is>
      </c>
      <c r="G2475" t="n">
        <v>8.300000000000001</v>
      </c>
      <c r="H2475" t="n">
        <v>0</v>
      </c>
      <c r="I2475" t="n">
        <v>0</v>
      </c>
      <c r="J2475" t="n">
        <v>0</v>
      </c>
      <c r="K2475" t="n">
        <v>0</v>
      </c>
      <c r="L2475" t="n">
        <v>0</v>
      </c>
      <c r="M2475" t="n">
        <v>0</v>
      </c>
      <c r="N2475" t="n">
        <v>0</v>
      </c>
      <c r="O2475" t="n">
        <v>0</v>
      </c>
      <c r="P2475" t="n">
        <v>0</v>
      </c>
      <c r="Q2475" t="n">
        <v>0</v>
      </c>
      <c r="R2475" s="2" t="inlineStr"/>
    </row>
    <row r="2476" ht="15" customHeight="1">
      <c r="A2476" t="inlineStr">
        <is>
          <t>A 50524-2023</t>
        </is>
      </c>
      <c r="B2476" s="1" t="n">
        <v>45217</v>
      </c>
      <c r="C2476" s="1" t="n">
        <v>45952</v>
      </c>
      <c r="D2476" t="inlineStr">
        <is>
          <t>ÖREBRO LÄN</t>
        </is>
      </c>
      <c r="E2476" t="inlineStr">
        <is>
          <t>LJUSNARSBERG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11726-2025</t>
        </is>
      </c>
      <c r="B2477" s="1" t="n">
        <v>45727</v>
      </c>
      <c r="C2477" s="1" t="n">
        <v>45952</v>
      </c>
      <c r="D2477" t="inlineStr">
        <is>
          <t>ÖREBRO LÄN</t>
        </is>
      </c>
      <c r="E2477" t="inlineStr">
        <is>
          <t>HALLSBERG</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30307-2024</t>
        </is>
      </c>
      <c r="B2478" s="1" t="n">
        <v>45490.70074074074</v>
      </c>
      <c r="C2478" s="1" t="n">
        <v>45952</v>
      </c>
      <c r="D2478" t="inlineStr">
        <is>
          <t>ÖREBRO LÄN</t>
        </is>
      </c>
      <c r="E2478" t="inlineStr">
        <is>
          <t>HÄLLEFORS</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21474-2025</t>
        </is>
      </c>
      <c r="B2479" s="1" t="n">
        <v>45782.5905324074</v>
      </c>
      <c r="C2479" s="1" t="n">
        <v>45952</v>
      </c>
      <c r="D2479" t="inlineStr">
        <is>
          <t>ÖREBRO LÄN</t>
        </is>
      </c>
      <c r="E2479" t="inlineStr">
        <is>
          <t>LAXÅ</t>
        </is>
      </c>
      <c r="F2479" t="inlineStr">
        <is>
          <t>Sveaskog</t>
        </is>
      </c>
      <c r="G2479" t="n">
        <v>4.4</v>
      </c>
      <c r="H2479" t="n">
        <v>0</v>
      </c>
      <c r="I2479" t="n">
        <v>0</v>
      </c>
      <c r="J2479" t="n">
        <v>0</v>
      </c>
      <c r="K2479" t="n">
        <v>0</v>
      </c>
      <c r="L2479" t="n">
        <v>0</v>
      </c>
      <c r="M2479" t="n">
        <v>0</v>
      </c>
      <c r="N2479" t="n">
        <v>0</v>
      </c>
      <c r="O2479" t="n">
        <v>0</v>
      </c>
      <c r="P2479" t="n">
        <v>0</v>
      </c>
      <c r="Q2479" t="n">
        <v>0</v>
      </c>
      <c r="R2479" s="2" t="inlineStr"/>
    </row>
    <row r="2480" ht="15" customHeight="1">
      <c r="A2480" t="inlineStr">
        <is>
          <t>A 3883-2024</t>
        </is>
      </c>
      <c r="B2480" s="1" t="n">
        <v>45322</v>
      </c>
      <c r="C2480" s="1" t="n">
        <v>45952</v>
      </c>
      <c r="D2480" t="inlineStr">
        <is>
          <t>ÖREBRO LÄN</t>
        </is>
      </c>
      <c r="E2480" t="inlineStr">
        <is>
          <t>ASKERSUND</t>
        </is>
      </c>
      <c r="G2480" t="n">
        <v>3.6</v>
      </c>
      <c r="H2480" t="n">
        <v>0</v>
      </c>
      <c r="I2480" t="n">
        <v>0</v>
      </c>
      <c r="J2480" t="n">
        <v>0</v>
      </c>
      <c r="K2480" t="n">
        <v>0</v>
      </c>
      <c r="L2480" t="n">
        <v>0</v>
      </c>
      <c r="M2480" t="n">
        <v>0</v>
      </c>
      <c r="N2480" t="n">
        <v>0</v>
      </c>
      <c r="O2480" t="n">
        <v>0</v>
      </c>
      <c r="P2480" t="n">
        <v>0</v>
      </c>
      <c r="Q2480" t="n">
        <v>0</v>
      </c>
      <c r="R2480" s="2" t="inlineStr"/>
    </row>
    <row r="2481" ht="15" customHeight="1">
      <c r="A2481" t="inlineStr">
        <is>
          <t>A 18168-2024</t>
        </is>
      </c>
      <c r="B2481" s="1" t="n">
        <v>45420</v>
      </c>
      <c r="C2481" s="1" t="n">
        <v>45952</v>
      </c>
      <c r="D2481" t="inlineStr">
        <is>
          <t>ÖREBRO LÄN</t>
        </is>
      </c>
      <c r="E2481" t="inlineStr">
        <is>
          <t>HÄLLEFORS</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18878-2025</t>
        </is>
      </c>
      <c r="B2482" s="1" t="n">
        <v>45764</v>
      </c>
      <c r="C2482" s="1" t="n">
        <v>45952</v>
      </c>
      <c r="D2482" t="inlineStr">
        <is>
          <t>ÖREBRO LÄN</t>
        </is>
      </c>
      <c r="E2482" t="inlineStr">
        <is>
          <t>HÄLLEFORS</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18790-2025</t>
        </is>
      </c>
      <c r="B2483" s="1" t="n">
        <v>45764</v>
      </c>
      <c r="C2483" s="1" t="n">
        <v>45952</v>
      </c>
      <c r="D2483" t="inlineStr">
        <is>
          <t>ÖREBRO LÄN</t>
        </is>
      </c>
      <c r="E2483" t="inlineStr">
        <is>
          <t>HÄLLEFORS</t>
        </is>
      </c>
      <c r="G2483" t="n">
        <v>14.9</v>
      </c>
      <c r="H2483" t="n">
        <v>0</v>
      </c>
      <c r="I2483" t="n">
        <v>0</v>
      </c>
      <c r="J2483" t="n">
        <v>0</v>
      </c>
      <c r="K2483" t="n">
        <v>0</v>
      </c>
      <c r="L2483" t="n">
        <v>0</v>
      </c>
      <c r="M2483" t="n">
        <v>0</v>
      </c>
      <c r="N2483" t="n">
        <v>0</v>
      </c>
      <c r="O2483" t="n">
        <v>0</v>
      </c>
      <c r="P2483" t="n">
        <v>0</v>
      </c>
      <c r="Q2483" t="n">
        <v>0</v>
      </c>
      <c r="R2483" s="2" t="inlineStr"/>
    </row>
    <row r="2484" ht="15" customHeight="1">
      <c r="A2484" t="inlineStr">
        <is>
          <t>A 43195-2024</t>
        </is>
      </c>
      <c r="B2484" s="1" t="n">
        <v>45567.68003472222</v>
      </c>
      <c r="C2484" s="1" t="n">
        <v>45952</v>
      </c>
      <c r="D2484" t="inlineStr">
        <is>
          <t>ÖREBRO LÄN</t>
        </is>
      </c>
      <c r="E2484" t="inlineStr">
        <is>
          <t>LINDESBERG</t>
        </is>
      </c>
      <c r="G2484" t="n">
        <v>27.8</v>
      </c>
      <c r="H2484" t="n">
        <v>0</v>
      </c>
      <c r="I2484" t="n">
        <v>0</v>
      </c>
      <c r="J2484" t="n">
        <v>0</v>
      </c>
      <c r="K2484" t="n">
        <v>0</v>
      </c>
      <c r="L2484" t="n">
        <v>0</v>
      </c>
      <c r="M2484" t="n">
        <v>0</v>
      </c>
      <c r="N2484" t="n">
        <v>0</v>
      </c>
      <c r="O2484" t="n">
        <v>0</v>
      </c>
      <c r="P2484" t="n">
        <v>0</v>
      </c>
      <c r="Q2484" t="n">
        <v>0</v>
      </c>
      <c r="R2484" s="2" t="inlineStr"/>
    </row>
    <row r="2485" ht="15" customHeight="1">
      <c r="A2485" t="inlineStr">
        <is>
          <t>A 31861-2024</t>
        </is>
      </c>
      <c r="B2485" s="1" t="n">
        <v>45509.73383101852</v>
      </c>
      <c r="C2485" s="1" t="n">
        <v>45952</v>
      </c>
      <c r="D2485" t="inlineStr">
        <is>
          <t>ÖREBRO LÄN</t>
        </is>
      </c>
      <c r="E2485" t="inlineStr">
        <is>
          <t>LINDESBERG</t>
        </is>
      </c>
      <c r="G2485" t="n">
        <v>8.300000000000001</v>
      </c>
      <c r="H2485" t="n">
        <v>0</v>
      </c>
      <c r="I2485" t="n">
        <v>0</v>
      </c>
      <c r="J2485" t="n">
        <v>0</v>
      </c>
      <c r="K2485" t="n">
        <v>0</v>
      </c>
      <c r="L2485" t="n">
        <v>0</v>
      </c>
      <c r="M2485" t="n">
        <v>0</v>
      </c>
      <c r="N2485" t="n">
        <v>0</v>
      </c>
      <c r="O2485" t="n">
        <v>0</v>
      </c>
      <c r="P2485" t="n">
        <v>0</v>
      </c>
      <c r="Q2485" t="n">
        <v>0</v>
      </c>
      <c r="R2485" s="2" t="inlineStr"/>
    </row>
    <row r="2486" ht="15" customHeight="1">
      <c r="A2486" t="inlineStr">
        <is>
          <t>A 21311-2025</t>
        </is>
      </c>
      <c r="B2486" s="1" t="n">
        <v>45781.90659722222</v>
      </c>
      <c r="C2486" s="1" t="n">
        <v>45952</v>
      </c>
      <c r="D2486" t="inlineStr">
        <is>
          <t>ÖREBRO LÄN</t>
        </is>
      </c>
      <c r="E2486" t="inlineStr">
        <is>
          <t>LAXÅ</t>
        </is>
      </c>
      <c r="F2486" t="inlineStr">
        <is>
          <t>Sveaskog</t>
        </is>
      </c>
      <c r="G2486" t="n">
        <v>2.8</v>
      </c>
      <c r="H2486" t="n">
        <v>0</v>
      </c>
      <c r="I2486" t="n">
        <v>0</v>
      </c>
      <c r="J2486" t="n">
        <v>0</v>
      </c>
      <c r="K2486" t="n">
        <v>0</v>
      </c>
      <c r="L2486" t="n">
        <v>0</v>
      </c>
      <c r="M2486" t="n">
        <v>0</v>
      </c>
      <c r="N2486" t="n">
        <v>0</v>
      </c>
      <c r="O2486" t="n">
        <v>0</v>
      </c>
      <c r="P2486" t="n">
        <v>0</v>
      </c>
      <c r="Q2486" t="n">
        <v>0</v>
      </c>
      <c r="R2486" s="2" t="inlineStr"/>
    </row>
    <row r="2487" ht="15" customHeight="1">
      <c r="A2487" t="inlineStr">
        <is>
          <t>A 27438-2024</t>
        </is>
      </c>
      <c r="B2487" s="1" t="n">
        <v>45474.40971064815</v>
      </c>
      <c r="C2487" s="1" t="n">
        <v>45952</v>
      </c>
      <c r="D2487" t="inlineStr">
        <is>
          <t>ÖREBRO LÄN</t>
        </is>
      </c>
      <c r="E2487" t="inlineStr">
        <is>
          <t>DEGERFORS</t>
        </is>
      </c>
      <c r="G2487" t="n">
        <v>2.6</v>
      </c>
      <c r="H2487" t="n">
        <v>0</v>
      </c>
      <c r="I2487" t="n">
        <v>0</v>
      </c>
      <c r="J2487" t="n">
        <v>0</v>
      </c>
      <c r="K2487" t="n">
        <v>0</v>
      </c>
      <c r="L2487" t="n">
        <v>0</v>
      </c>
      <c r="M2487" t="n">
        <v>0</v>
      </c>
      <c r="N2487" t="n">
        <v>0</v>
      </c>
      <c r="O2487" t="n">
        <v>0</v>
      </c>
      <c r="P2487" t="n">
        <v>0</v>
      </c>
      <c r="Q2487" t="n">
        <v>0</v>
      </c>
      <c r="R2487" s="2" t="inlineStr"/>
    </row>
    <row r="2488" ht="15" customHeight="1">
      <c r="A2488" t="inlineStr">
        <is>
          <t>A 1521-2025</t>
        </is>
      </c>
      <c r="B2488" s="1" t="n">
        <v>45670</v>
      </c>
      <c r="C2488" s="1" t="n">
        <v>45952</v>
      </c>
      <c r="D2488" t="inlineStr">
        <is>
          <t>ÖREBRO LÄN</t>
        </is>
      </c>
      <c r="E2488" t="inlineStr">
        <is>
          <t>NORA</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43752-2025</t>
        </is>
      </c>
      <c r="B2489" s="1" t="n">
        <v>45912</v>
      </c>
      <c r="C2489" s="1" t="n">
        <v>45952</v>
      </c>
      <c r="D2489" t="inlineStr">
        <is>
          <t>ÖREBRO LÄN</t>
        </is>
      </c>
      <c r="E2489" t="inlineStr">
        <is>
          <t>DEGERFORS</t>
        </is>
      </c>
      <c r="G2489" t="n">
        <v>3.1</v>
      </c>
      <c r="H2489" t="n">
        <v>0</v>
      </c>
      <c r="I2489" t="n">
        <v>0</v>
      </c>
      <c r="J2489" t="n">
        <v>0</v>
      </c>
      <c r="K2489" t="n">
        <v>0</v>
      </c>
      <c r="L2489" t="n">
        <v>0</v>
      </c>
      <c r="M2489" t="n">
        <v>0</v>
      </c>
      <c r="N2489" t="n">
        <v>0</v>
      </c>
      <c r="O2489" t="n">
        <v>0</v>
      </c>
      <c r="P2489" t="n">
        <v>0</v>
      </c>
      <c r="Q2489" t="n">
        <v>0</v>
      </c>
      <c r="R2489" s="2" t="inlineStr"/>
    </row>
    <row r="2490" ht="15" customHeight="1">
      <c r="A2490" t="inlineStr">
        <is>
          <t>A 46052-2024</t>
        </is>
      </c>
      <c r="B2490" s="1" t="n">
        <v>45580.89116898148</v>
      </c>
      <c r="C2490" s="1" t="n">
        <v>45952</v>
      </c>
      <c r="D2490" t="inlineStr">
        <is>
          <t>ÖREBRO LÄN</t>
        </is>
      </c>
      <c r="E2490" t="inlineStr">
        <is>
          <t>ÖREBRO</t>
        </is>
      </c>
      <c r="F2490" t="inlineStr">
        <is>
          <t>Övriga Aktiebolag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41073-2024</t>
        </is>
      </c>
      <c r="B2491" s="1" t="n">
        <v>45559.39498842593</v>
      </c>
      <c r="C2491" s="1" t="n">
        <v>45952</v>
      </c>
      <c r="D2491" t="inlineStr">
        <is>
          <t>ÖREBRO LÄN</t>
        </is>
      </c>
      <c r="E2491" t="inlineStr">
        <is>
          <t>ASKERSUND</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39429-2025</t>
        </is>
      </c>
      <c r="B2492" s="1" t="n">
        <v>45889.67577546297</v>
      </c>
      <c r="C2492" s="1" t="n">
        <v>45952</v>
      </c>
      <c r="D2492" t="inlineStr">
        <is>
          <t>ÖREBRO LÄN</t>
        </is>
      </c>
      <c r="E2492" t="inlineStr">
        <is>
          <t>LINDESBERG</t>
        </is>
      </c>
      <c r="F2492" t="inlineStr">
        <is>
          <t>Sveaskog</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23914-2024</t>
        </is>
      </c>
      <c r="B2493" s="1" t="n">
        <v>45455.86207175926</v>
      </c>
      <c r="C2493" s="1" t="n">
        <v>45952</v>
      </c>
      <c r="D2493" t="inlineStr">
        <is>
          <t>ÖREBRO LÄN</t>
        </is>
      </c>
      <c r="E2493" t="inlineStr">
        <is>
          <t>ASKERSUND</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29735-2023</t>
        </is>
      </c>
      <c r="B2494" s="1" t="n">
        <v>45098</v>
      </c>
      <c r="C2494" s="1" t="n">
        <v>45952</v>
      </c>
      <c r="D2494" t="inlineStr">
        <is>
          <t>ÖREBRO LÄN</t>
        </is>
      </c>
      <c r="E2494" t="inlineStr">
        <is>
          <t>HALLSBERG</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50714-2022</t>
        </is>
      </c>
      <c r="B2495" s="1" t="n">
        <v>44867.35501157407</v>
      </c>
      <c r="C2495" s="1" t="n">
        <v>45952</v>
      </c>
      <c r="D2495" t="inlineStr">
        <is>
          <t>ÖREBRO LÄN</t>
        </is>
      </c>
      <c r="E2495" t="inlineStr">
        <is>
          <t>HÄLLEFORS</t>
        </is>
      </c>
      <c r="F2495" t="inlineStr">
        <is>
          <t>Bergvik skog väst AB</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42326-2023</t>
        </is>
      </c>
      <c r="B2496" s="1" t="n">
        <v>45180</v>
      </c>
      <c r="C2496" s="1" t="n">
        <v>45952</v>
      </c>
      <c r="D2496" t="inlineStr">
        <is>
          <t>ÖREBRO LÄN</t>
        </is>
      </c>
      <c r="E2496" t="inlineStr">
        <is>
          <t>LAXÅ</t>
        </is>
      </c>
      <c r="F2496" t="inlineStr">
        <is>
          <t>Sveaskog</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24583-2024</t>
        </is>
      </c>
      <c r="B2497" s="1" t="n">
        <v>45460.46358796296</v>
      </c>
      <c r="C2497" s="1" t="n">
        <v>45952</v>
      </c>
      <c r="D2497" t="inlineStr">
        <is>
          <t>ÖREBRO LÄN</t>
        </is>
      </c>
      <c r="E2497" t="inlineStr">
        <is>
          <t>LINDESBERG</t>
        </is>
      </c>
      <c r="G2497" t="n">
        <v>13.7</v>
      </c>
      <c r="H2497" t="n">
        <v>0</v>
      </c>
      <c r="I2497" t="n">
        <v>0</v>
      </c>
      <c r="J2497" t="n">
        <v>0</v>
      </c>
      <c r="K2497" t="n">
        <v>0</v>
      </c>
      <c r="L2497" t="n">
        <v>0</v>
      </c>
      <c r="M2497" t="n">
        <v>0</v>
      </c>
      <c r="N2497" t="n">
        <v>0</v>
      </c>
      <c r="O2497" t="n">
        <v>0</v>
      </c>
      <c r="P2497" t="n">
        <v>0</v>
      </c>
      <c r="Q2497" t="n">
        <v>0</v>
      </c>
      <c r="R2497" s="2" t="inlineStr"/>
    </row>
    <row r="2498" ht="15" customHeight="1">
      <c r="A2498" t="inlineStr">
        <is>
          <t>A 39183-2025</t>
        </is>
      </c>
      <c r="B2498" s="1" t="n">
        <v>45888.6637962963</v>
      </c>
      <c r="C2498" s="1" t="n">
        <v>45952</v>
      </c>
      <c r="D2498" t="inlineStr">
        <is>
          <t>ÖREBRO LÄN</t>
        </is>
      </c>
      <c r="E2498" t="inlineStr">
        <is>
          <t>HÄLLEFORS</t>
        </is>
      </c>
      <c r="F2498" t="inlineStr">
        <is>
          <t>Bergvik skog väst AB</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1341-2024</t>
        </is>
      </c>
      <c r="B2499" s="1" t="n">
        <v>45303.44383101852</v>
      </c>
      <c r="C2499" s="1" t="n">
        <v>45952</v>
      </c>
      <c r="D2499" t="inlineStr">
        <is>
          <t>ÖREBRO LÄN</t>
        </is>
      </c>
      <c r="E2499" t="inlineStr">
        <is>
          <t>ASKERSUND</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21212-2023</t>
        </is>
      </c>
      <c r="B2500" s="1" t="n">
        <v>45062</v>
      </c>
      <c r="C2500" s="1" t="n">
        <v>45952</v>
      </c>
      <c r="D2500" t="inlineStr">
        <is>
          <t>ÖREBRO LÄN</t>
        </is>
      </c>
      <c r="E2500" t="inlineStr">
        <is>
          <t>LAXÅ</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53340-2024</t>
        </is>
      </c>
      <c r="B2501" s="1" t="n">
        <v>45614.43358796297</v>
      </c>
      <c r="C2501" s="1" t="n">
        <v>45952</v>
      </c>
      <c r="D2501" t="inlineStr">
        <is>
          <t>ÖREBRO LÄN</t>
        </is>
      </c>
      <c r="E2501" t="inlineStr">
        <is>
          <t>HÄLLEFORS</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42863-2022</t>
        </is>
      </c>
      <c r="B2502" s="1" t="n">
        <v>44832.73646990741</v>
      </c>
      <c r="C2502" s="1" t="n">
        <v>45952</v>
      </c>
      <c r="D2502" t="inlineStr">
        <is>
          <t>ÖREBRO LÄN</t>
        </is>
      </c>
      <c r="E2502" t="inlineStr">
        <is>
          <t>HÄLLEFORS</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32536-2024</t>
        </is>
      </c>
      <c r="B2503" s="1" t="n">
        <v>45513</v>
      </c>
      <c r="C2503" s="1" t="n">
        <v>45952</v>
      </c>
      <c r="D2503" t="inlineStr">
        <is>
          <t>ÖREBRO LÄN</t>
        </is>
      </c>
      <c r="E2503" t="inlineStr">
        <is>
          <t>HALLSBERG</t>
        </is>
      </c>
      <c r="G2503" t="n">
        <v>3.4</v>
      </c>
      <c r="H2503" t="n">
        <v>0</v>
      </c>
      <c r="I2503" t="n">
        <v>0</v>
      </c>
      <c r="J2503" t="n">
        <v>0</v>
      </c>
      <c r="K2503" t="n">
        <v>0</v>
      </c>
      <c r="L2503" t="n">
        <v>0</v>
      </c>
      <c r="M2503" t="n">
        <v>0</v>
      </c>
      <c r="N2503" t="n">
        <v>0</v>
      </c>
      <c r="O2503" t="n">
        <v>0</v>
      </c>
      <c r="P2503" t="n">
        <v>0</v>
      </c>
      <c r="Q2503" t="n">
        <v>0</v>
      </c>
      <c r="R2503" s="2" t="inlineStr"/>
    </row>
    <row r="2504" ht="15" customHeight="1">
      <c r="A2504" t="inlineStr">
        <is>
          <t>A 18852-2025</t>
        </is>
      </c>
      <c r="B2504" s="1" t="n">
        <v>45764</v>
      </c>
      <c r="C2504" s="1" t="n">
        <v>45952</v>
      </c>
      <c r="D2504" t="inlineStr">
        <is>
          <t>ÖREBRO LÄN</t>
        </is>
      </c>
      <c r="E2504" t="inlineStr">
        <is>
          <t>HÄLLEFORS</t>
        </is>
      </c>
      <c r="G2504" t="n">
        <v>6.8</v>
      </c>
      <c r="H2504" t="n">
        <v>0</v>
      </c>
      <c r="I2504" t="n">
        <v>0</v>
      </c>
      <c r="J2504" t="n">
        <v>0</v>
      </c>
      <c r="K2504" t="n">
        <v>0</v>
      </c>
      <c r="L2504" t="n">
        <v>0</v>
      </c>
      <c r="M2504" t="n">
        <v>0</v>
      </c>
      <c r="N2504" t="n">
        <v>0</v>
      </c>
      <c r="O2504" t="n">
        <v>0</v>
      </c>
      <c r="P2504" t="n">
        <v>0</v>
      </c>
      <c r="Q2504" t="n">
        <v>0</v>
      </c>
      <c r="R2504" s="2" t="inlineStr"/>
    </row>
    <row r="2505" ht="15" customHeight="1">
      <c r="A2505" t="inlineStr">
        <is>
          <t>A 18869-2025</t>
        </is>
      </c>
      <c r="B2505" s="1" t="n">
        <v>45764</v>
      </c>
      <c r="C2505" s="1" t="n">
        <v>45952</v>
      </c>
      <c r="D2505" t="inlineStr">
        <is>
          <t>ÖREBRO LÄN</t>
        </is>
      </c>
      <c r="E2505" t="inlineStr">
        <is>
          <t>HÄLLEFORS</t>
        </is>
      </c>
      <c r="G2505" t="n">
        <v>3.7</v>
      </c>
      <c r="H2505" t="n">
        <v>0</v>
      </c>
      <c r="I2505" t="n">
        <v>0</v>
      </c>
      <c r="J2505" t="n">
        <v>0</v>
      </c>
      <c r="K2505" t="n">
        <v>0</v>
      </c>
      <c r="L2505" t="n">
        <v>0</v>
      </c>
      <c r="M2505" t="n">
        <v>0</v>
      </c>
      <c r="N2505" t="n">
        <v>0</v>
      </c>
      <c r="O2505" t="n">
        <v>0</v>
      </c>
      <c r="P2505" t="n">
        <v>0</v>
      </c>
      <c r="Q2505" t="n">
        <v>0</v>
      </c>
      <c r="R2505" s="2" t="inlineStr"/>
    </row>
    <row r="2506" ht="15" customHeight="1">
      <c r="A2506" t="inlineStr">
        <is>
          <t>A 51940-2024</t>
        </is>
      </c>
      <c r="B2506" s="1" t="n">
        <v>45607</v>
      </c>
      <c r="C2506" s="1" t="n">
        <v>45952</v>
      </c>
      <c r="D2506" t="inlineStr">
        <is>
          <t>ÖREBRO LÄN</t>
        </is>
      </c>
      <c r="E2506" t="inlineStr">
        <is>
          <t>KUMLA</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26752-2024</t>
        </is>
      </c>
      <c r="B2507" s="1" t="n">
        <v>45470.45872685185</v>
      </c>
      <c r="C2507" s="1" t="n">
        <v>45952</v>
      </c>
      <c r="D2507" t="inlineStr">
        <is>
          <t>ÖREBRO LÄN</t>
        </is>
      </c>
      <c r="E2507" t="inlineStr">
        <is>
          <t>ASKERSUND</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26916-2022</t>
        </is>
      </c>
      <c r="B2508" s="1" t="n">
        <v>44740</v>
      </c>
      <c r="C2508" s="1" t="n">
        <v>45952</v>
      </c>
      <c r="D2508" t="inlineStr">
        <is>
          <t>ÖREBRO LÄN</t>
        </is>
      </c>
      <c r="E2508" t="inlineStr">
        <is>
          <t>NORA</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47676-2025</t>
        </is>
      </c>
      <c r="B2509" s="1" t="n">
        <v>45931.57756944445</v>
      </c>
      <c r="C2509" s="1" t="n">
        <v>45952</v>
      </c>
      <c r="D2509" t="inlineStr">
        <is>
          <t>ÖREBRO LÄN</t>
        </is>
      </c>
      <c r="E2509" t="inlineStr">
        <is>
          <t>LINDESBERG</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35819-2024</t>
        </is>
      </c>
      <c r="B2510" s="1" t="n">
        <v>45532</v>
      </c>
      <c r="C2510" s="1" t="n">
        <v>45952</v>
      </c>
      <c r="D2510" t="inlineStr">
        <is>
          <t>ÖREBRO LÄN</t>
        </is>
      </c>
      <c r="E2510" t="inlineStr">
        <is>
          <t>ÖREBRO</t>
        </is>
      </c>
      <c r="G2510" t="n">
        <v>6.4</v>
      </c>
      <c r="H2510" t="n">
        <v>0</v>
      </c>
      <c r="I2510" t="n">
        <v>0</v>
      </c>
      <c r="J2510" t="n">
        <v>0</v>
      </c>
      <c r="K2510" t="n">
        <v>0</v>
      </c>
      <c r="L2510" t="n">
        <v>0</v>
      </c>
      <c r="M2510" t="n">
        <v>0</v>
      </c>
      <c r="N2510" t="n">
        <v>0</v>
      </c>
      <c r="O2510" t="n">
        <v>0</v>
      </c>
      <c r="P2510" t="n">
        <v>0</v>
      </c>
      <c r="Q2510" t="n">
        <v>0</v>
      </c>
      <c r="R2510" s="2" t="inlineStr"/>
    </row>
    <row r="2511" ht="15" customHeight="1">
      <c r="A2511" t="inlineStr">
        <is>
          <t>A 52366-2024</t>
        </is>
      </c>
      <c r="B2511" s="1" t="n">
        <v>45608</v>
      </c>
      <c r="C2511" s="1" t="n">
        <v>45952</v>
      </c>
      <c r="D2511" t="inlineStr">
        <is>
          <t>ÖREBRO LÄN</t>
        </is>
      </c>
      <c r="E2511" t="inlineStr">
        <is>
          <t>LJUSNARSBERG</t>
        </is>
      </c>
      <c r="F2511" t="inlineStr">
        <is>
          <t>Bergvik skog väst AB</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52391-2024</t>
        </is>
      </c>
      <c r="B2512" s="1" t="n">
        <v>45609.43180555556</v>
      </c>
      <c r="C2512" s="1" t="n">
        <v>45952</v>
      </c>
      <c r="D2512" t="inlineStr">
        <is>
          <t>ÖREBRO LÄN</t>
        </is>
      </c>
      <c r="E2512" t="inlineStr">
        <is>
          <t>ÖREBRO</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52401-2024</t>
        </is>
      </c>
      <c r="B2513" s="1" t="n">
        <v>45609.44553240741</v>
      </c>
      <c r="C2513" s="1" t="n">
        <v>45952</v>
      </c>
      <c r="D2513" t="inlineStr">
        <is>
          <t>ÖREBRO LÄN</t>
        </is>
      </c>
      <c r="E2513" t="inlineStr">
        <is>
          <t>ÖREBRO</t>
        </is>
      </c>
      <c r="F2513" t="inlineStr">
        <is>
          <t>Sveaskog</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4353-2023</t>
        </is>
      </c>
      <c r="B2514" s="1" t="n">
        <v>44954.27407407408</v>
      </c>
      <c r="C2514" s="1" t="n">
        <v>45952</v>
      </c>
      <c r="D2514" t="inlineStr">
        <is>
          <t>ÖREBRO LÄN</t>
        </is>
      </c>
      <c r="E2514" t="inlineStr">
        <is>
          <t>HÄLLEFORS</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28469-2023</t>
        </is>
      </c>
      <c r="B2515" s="1" t="n">
        <v>45103</v>
      </c>
      <c r="C2515" s="1" t="n">
        <v>45952</v>
      </c>
      <c r="D2515" t="inlineStr">
        <is>
          <t>ÖREBRO LÄN</t>
        </is>
      </c>
      <c r="E2515" t="inlineStr">
        <is>
          <t>LINDESBERG</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30282-2023</t>
        </is>
      </c>
      <c r="B2516" s="1" t="n">
        <v>45110.90550925926</v>
      </c>
      <c r="C2516" s="1" t="n">
        <v>45952</v>
      </c>
      <c r="D2516" t="inlineStr">
        <is>
          <t>ÖREBRO LÄN</t>
        </is>
      </c>
      <c r="E2516" t="inlineStr">
        <is>
          <t>HÄLLEFORS</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39234-2025</t>
        </is>
      </c>
      <c r="B2517" s="1" t="n">
        <v>45889.33067129629</v>
      </c>
      <c r="C2517" s="1" t="n">
        <v>45952</v>
      </c>
      <c r="D2517" t="inlineStr">
        <is>
          <t>ÖREBRO LÄN</t>
        </is>
      </c>
      <c r="E2517" t="inlineStr">
        <is>
          <t>LJUSNARSBERG</t>
        </is>
      </c>
      <c r="F2517" t="inlineStr">
        <is>
          <t>Bergvik skog väst AB</t>
        </is>
      </c>
      <c r="G2517" t="n">
        <v>9.6</v>
      </c>
      <c r="H2517" t="n">
        <v>0</v>
      </c>
      <c r="I2517" t="n">
        <v>0</v>
      </c>
      <c r="J2517" t="n">
        <v>0</v>
      </c>
      <c r="K2517" t="n">
        <v>0</v>
      </c>
      <c r="L2517" t="n">
        <v>0</v>
      </c>
      <c r="M2517" t="n">
        <v>0</v>
      </c>
      <c r="N2517" t="n">
        <v>0</v>
      </c>
      <c r="O2517" t="n">
        <v>0</v>
      </c>
      <c r="P2517" t="n">
        <v>0</v>
      </c>
      <c r="Q2517" t="n">
        <v>0</v>
      </c>
      <c r="R2517" s="2" t="inlineStr"/>
    </row>
    <row r="2518" ht="15" customHeight="1">
      <c r="A2518" t="inlineStr">
        <is>
          <t>A 5045-2025</t>
        </is>
      </c>
      <c r="B2518" s="1" t="n">
        <v>45691.44689814815</v>
      </c>
      <c r="C2518" s="1" t="n">
        <v>45952</v>
      </c>
      <c r="D2518" t="inlineStr">
        <is>
          <t>ÖREBRO LÄN</t>
        </is>
      </c>
      <c r="E2518" t="inlineStr">
        <is>
          <t>HÄLLEFORS</t>
        </is>
      </c>
      <c r="F2518" t="inlineStr">
        <is>
          <t>Bergvik skog väst AB</t>
        </is>
      </c>
      <c r="G2518" t="n">
        <v>6.4</v>
      </c>
      <c r="H2518" t="n">
        <v>0</v>
      </c>
      <c r="I2518" t="n">
        <v>0</v>
      </c>
      <c r="J2518" t="n">
        <v>0</v>
      </c>
      <c r="K2518" t="n">
        <v>0</v>
      </c>
      <c r="L2518" t="n">
        <v>0</v>
      </c>
      <c r="M2518" t="n">
        <v>0</v>
      </c>
      <c r="N2518" t="n">
        <v>0</v>
      </c>
      <c r="O2518" t="n">
        <v>0</v>
      </c>
      <c r="P2518" t="n">
        <v>0</v>
      </c>
      <c r="Q2518" t="n">
        <v>0</v>
      </c>
      <c r="R2518" s="2" t="inlineStr"/>
    </row>
    <row r="2519" ht="15" customHeight="1">
      <c r="A2519" t="inlineStr">
        <is>
          <t>A 64089-2021</t>
        </is>
      </c>
      <c r="B2519" s="1" t="n">
        <v>44510</v>
      </c>
      <c r="C2519" s="1" t="n">
        <v>45952</v>
      </c>
      <c r="D2519" t="inlineStr">
        <is>
          <t>ÖREBRO LÄN</t>
        </is>
      </c>
      <c r="E2519" t="inlineStr">
        <is>
          <t>KARLSKOGA</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38547-2022</t>
        </is>
      </c>
      <c r="B2520" s="1" t="n">
        <v>44813</v>
      </c>
      <c r="C2520" s="1" t="n">
        <v>45952</v>
      </c>
      <c r="D2520" t="inlineStr">
        <is>
          <t>ÖREBRO LÄN</t>
        </is>
      </c>
      <c r="E2520" t="inlineStr">
        <is>
          <t>LAXÅ</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38554-2022</t>
        </is>
      </c>
      <c r="B2521" s="1" t="n">
        <v>44813</v>
      </c>
      <c r="C2521" s="1" t="n">
        <v>45952</v>
      </c>
      <c r="D2521" t="inlineStr">
        <is>
          <t>ÖREBRO LÄN</t>
        </is>
      </c>
      <c r="E2521" t="inlineStr">
        <is>
          <t>LAXÅ</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47296-2025</t>
        </is>
      </c>
      <c r="B2522" s="1" t="n">
        <v>45930.49436342593</v>
      </c>
      <c r="C2522" s="1" t="n">
        <v>45952</v>
      </c>
      <c r="D2522" t="inlineStr">
        <is>
          <t>ÖREBRO LÄN</t>
        </is>
      </c>
      <c r="E2522" t="inlineStr">
        <is>
          <t>ASKERSUND</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72706-2021</t>
        </is>
      </c>
      <c r="B2523" s="1" t="n">
        <v>44546.67222222222</v>
      </c>
      <c r="C2523" s="1" t="n">
        <v>45952</v>
      </c>
      <c r="D2523" t="inlineStr">
        <is>
          <t>ÖREBRO LÄN</t>
        </is>
      </c>
      <c r="E2523" t="inlineStr">
        <is>
          <t>LINDESBERG</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35106-2023</t>
        </is>
      </c>
      <c r="B2524" s="1" t="n">
        <v>45145</v>
      </c>
      <c r="C2524" s="1" t="n">
        <v>45952</v>
      </c>
      <c r="D2524" t="inlineStr">
        <is>
          <t>ÖREBRO LÄN</t>
        </is>
      </c>
      <c r="E2524" t="inlineStr">
        <is>
          <t>HÄLLEFORS</t>
        </is>
      </c>
      <c r="F2524" t="inlineStr">
        <is>
          <t>Bergvik skog väst AB</t>
        </is>
      </c>
      <c r="G2524" t="n">
        <v>13.9</v>
      </c>
      <c r="H2524" t="n">
        <v>0</v>
      </c>
      <c r="I2524" t="n">
        <v>0</v>
      </c>
      <c r="J2524" t="n">
        <v>0</v>
      </c>
      <c r="K2524" t="n">
        <v>0</v>
      </c>
      <c r="L2524" t="n">
        <v>0</v>
      </c>
      <c r="M2524" t="n">
        <v>0</v>
      </c>
      <c r="N2524" t="n">
        <v>0</v>
      </c>
      <c r="O2524" t="n">
        <v>0</v>
      </c>
      <c r="P2524" t="n">
        <v>0</v>
      </c>
      <c r="Q2524" t="n">
        <v>0</v>
      </c>
      <c r="R2524" s="2" t="inlineStr"/>
    </row>
    <row r="2525" ht="15" customHeight="1">
      <c r="A2525" t="inlineStr">
        <is>
          <t>A 47678-2025</t>
        </is>
      </c>
      <c r="B2525" s="1" t="n">
        <v>45931.57967592592</v>
      </c>
      <c r="C2525" s="1" t="n">
        <v>45952</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60907-2023</t>
        </is>
      </c>
      <c r="B2526" s="1" t="n">
        <v>45261</v>
      </c>
      <c r="C2526" s="1" t="n">
        <v>45952</v>
      </c>
      <c r="D2526" t="inlineStr">
        <is>
          <t>ÖREBRO LÄN</t>
        </is>
      </c>
      <c r="E2526" t="inlineStr">
        <is>
          <t>DEGERFORS</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46288-2024</t>
        </is>
      </c>
      <c r="B2527" s="1" t="n">
        <v>45581.65881944444</v>
      </c>
      <c r="C2527" s="1" t="n">
        <v>45952</v>
      </c>
      <c r="D2527" t="inlineStr">
        <is>
          <t>ÖREBRO LÄN</t>
        </is>
      </c>
      <c r="E2527" t="inlineStr">
        <is>
          <t>DEGERFORS</t>
        </is>
      </c>
      <c r="F2527" t="inlineStr">
        <is>
          <t>Sveaskog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21846-2025</t>
        </is>
      </c>
      <c r="B2528" s="1" t="n">
        <v>45784.33967592593</v>
      </c>
      <c r="C2528" s="1" t="n">
        <v>45952</v>
      </c>
      <c r="D2528" t="inlineStr">
        <is>
          <t>ÖREBRO LÄN</t>
        </is>
      </c>
      <c r="E2528" t="inlineStr">
        <is>
          <t>NORA</t>
        </is>
      </c>
      <c r="G2528" t="n">
        <v>14.6</v>
      </c>
      <c r="H2528" t="n">
        <v>0</v>
      </c>
      <c r="I2528" t="n">
        <v>0</v>
      </c>
      <c r="J2528" t="n">
        <v>0</v>
      </c>
      <c r="K2528" t="n">
        <v>0</v>
      </c>
      <c r="L2528" t="n">
        <v>0</v>
      </c>
      <c r="M2528" t="n">
        <v>0</v>
      </c>
      <c r="N2528" t="n">
        <v>0</v>
      </c>
      <c r="O2528" t="n">
        <v>0</v>
      </c>
      <c r="P2528" t="n">
        <v>0</v>
      </c>
      <c r="Q2528" t="n">
        <v>0</v>
      </c>
      <c r="R2528" s="2" t="inlineStr"/>
    </row>
    <row r="2529" ht="15" customHeight="1">
      <c r="A2529" t="inlineStr">
        <is>
          <t>A 39421-2025</t>
        </is>
      </c>
      <c r="B2529" s="1" t="n">
        <v>45889.66935185185</v>
      </c>
      <c r="C2529" s="1" t="n">
        <v>45952</v>
      </c>
      <c r="D2529" t="inlineStr">
        <is>
          <t>ÖREBRO LÄN</t>
        </is>
      </c>
      <c r="E2529" t="inlineStr">
        <is>
          <t>LINDESBERG</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64090-2023</t>
        </is>
      </c>
      <c r="B2530" s="1" t="n">
        <v>45279.43923611111</v>
      </c>
      <c r="C2530" s="1" t="n">
        <v>45952</v>
      </c>
      <c r="D2530" t="inlineStr">
        <is>
          <t>ÖREBRO LÄN</t>
        </is>
      </c>
      <c r="E2530" t="inlineStr">
        <is>
          <t>NORA</t>
        </is>
      </c>
      <c r="F2530" t="inlineStr">
        <is>
          <t>Sveaskog</t>
        </is>
      </c>
      <c r="G2530" t="n">
        <v>2.9</v>
      </c>
      <c r="H2530" t="n">
        <v>0</v>
      </c>
      <c r="I2530" t="n">
        <v>0</v>
      </c>
      <c r="J2530" t="n">
        <v>0</v>
      </c>
      <c r="K2530" t="n">
        <v>0</v>
      </c>
      <c r="L2530" t="n">
        <v>0</v>
      </c>
      <c r="M2530" t="n">
        <v>0</v>
      </c>
      <c r="N2530" t="n">
        <v>0</v>
      </c>
      <c r="O2530" t="n">
        <v>0</v>
      </c>
      <c r="P2530" t="n">
        <v>0</v>
      </c>
      <c r="Q2530" t="n">
        <v>0</v>
      </c>
      <c r="R2530" s="2" t="inlineStr"/>
    </row>
    <row r="2531" ht="15" customHeight="1">
      <c r="A2531" t="inlineStr">
        <is>
          <t>A 2232-2021</t>
        </is>
      </c>
      <c r="B2531" s="1" t="n">
        <v>44211</v>
      </c>
      <c r="C2531" s="1" t="n">
        <v>45952</v>
      </c>
      <c r="D2531" t="inlineStr">
        <is>
          <t>ÖREBRO LÄN</t>
        </is>
      </c>
      <c r="E2531" t="inlineStr">
        <is>
          <t>ASKERSUND</t>
        </is>
      </c>
      <c r="G2531" t="n">
        <v>3.5</v>
      </c>
      <c r="H2531" t="n">
        <v>0</v>
      </c>
      <c r="I2531" t="n">
        <v>0</v>
      </c>
      <c r="J2531" t="n">
        <v>0</v>
      </c>
      <c r="K2531" t="n">
        <v>0</v>
      </c>
      <c r="L2531" t="n">
        <v>0</v>
      </c>
      <c r="M2531" t="n">
        <v>0</v>
      </c>
      <c r="N2531" t="n">
        <v>0</v>
      </c>
      <c r="O2531" t="n">
        <v>0</v>
      </c>
      <c r="P2531" t="n">
        <v>0</v>
      </c>
      <c r="Q2531" t="n">
        <v>0</v>
      </c>
      <c r="R2531" s="2" t="inlineStr"/>
    </row>
    <row r="2532" ht="15" customHeight="1">
      <c r="A2532" t="inlineStr">
        <is>
          <t>A 39424-2025</t>
        </is>
      </c>
      <c r="B2532" s="1" t="n">
        <v>45889.67290509259</v>
      </c>
      <c r="C2532" s="1" t="n">
        <v>45952</v>
      </c>
      <c r="D2532" t="inlineStr">
        <is>
          <t>ÖREBRO LÄN</t>
        </is>
      </c>
      <c r="E2532" t="inlineStr">
        <is>
          <t>LINDESBERG</t>
        </is>
      </c>
      <c r="F2532" t="inlineStr">
        <is>
          <t>Sveaskog</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39003-2025</t>
        </is>
      </c>
      <c r="B2533" s="1" t="n">
        <v>45888.34467592592</v>
      </c>
      <c r="C2533" s="1" t="n">
        <v>45952</v>
      </c>
      <c r="D2533" t="inlineStr">
        <is>
          <t>ÖREBRO LÄN</t>
        </is>
      </c>
      <c r="E2533" t="inlineStr">
        <is>
          <t>ÖREBRO</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21852-2025</t>
        </is>
      </c>
      <c r="B2534" s="1" t="n">
        <v>45784</v>
      </c>
      <c r="C2534" s="1" t="n">
        <v>45952</v>
      </c>
      <c r="D2534" t="inlineStr">
        <is>
          <t>ÖREBRO LÄN</t>
        </is>
      </c>
      <c r="E2534" t="inlineStr">
        <is>
          <t>HÄLLEFORS</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47787-2025</t>
        </is>
      </c>
      <c r="B2535" s="1" t="n">
        <v>45931</v>
      </c>
      <c r="C2535" s="1" t="n">
        <v>45952</v>
      </c>
      <c r="D2535" t="inlineStr">
        <is>
          <t>ÖREBRO LÄN</t>
        </is>
      </c>
      <c r="E2535" t="inlineStr">
        <is>
          <t>DEGERFORS</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15422-2022</t>
        </is>
      </c>
      <c r="B2536" s="1" t="n">
        <v>44659.63753472222</v>
      </c>
      <c r="C2536" s="1" t="n">
        <v>45952</v>
      </c>
      <c r="D2536" t="inlineStr">
        <is>
          <t>ÖREBRO LÄN</t>
        </is>
      </c>
      <c r="E2536" t="inlineStr">
        <is>
          <t>ÖREBRO</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61470-2024</t>
        </is>
      </c>
      <c r="B2537" s="1" t="n">
        <v>45646</v>
      </c>
      <c r="C2537" s="1" t="n">
        <v>45952</v>
      </c>
      <c r="D2537" t="inlineStr">
        <is>
          <t>ÖREBRO LÄN</t>
        </is>
      </c>
      <c r="E2537" t="inlineStr">
        <is>
          <t>LEKEBERG</t>
        </is>
      </c>
      <c r="G2537" t="n">
        <v>5</v>
      </c>
      <c r="H2537" t="n">
        <v>0</v>
      </c>
      <c r="I2537" t="n">
        <v>0</v>
      </c>
      <c r="J2537" t="n">
        <v>0</v>
      </c>
      <c r="K2537" t="n">
        <v>0</v>
      </c>
      <c r="L2537" t="n">
        <v>0</v>
      </c>
      <c r="M2537" t="n">
        <v>0</v>
      </c>
      <c r="N2537" t="n">
        <v>0</v>
      </c>
      <c r="O2537" t="n">
        <v>0</v>
      </c>
      <c r="P2537" t="n">
        <v>0</v>
      </c>
      <c r="Q2537" t="n">
        <v>0</v>
      </c>
      <c r="R2537" s="2" t="inlineStr"/>
    </row>
    <row r="2538" ht="15" customHeight="1">
      <c r="A2538" t="inlineStr">
        <is>
          <t>A 43532-2024</t>
        </is>
      </c>
      <c r="B2538" s="1" t="n">
        <v>45569.3533912037</v>
      </c>
      <c r="C2538" s="1" t="n">
        <v>45952</v>
      </c>
      <c r="D2538" t="inlineStr">
        <is>
          <t>ÖREBRO LÄN</t>
        </is>
      </c>
      <c r="E2538" t="inlineStr">
        <is>
          <t>LINDESBERG</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28778-2024</t>
        </is>
      </c>
      <c r="B2539" s="1" t="n">
        <v>45478.6056712963</v>
      </c>
      <c r="C2539" s="1" t="n">
        <v>45952</v>
      </c>
      <c r="D2539" t="inlineStr">
        <is>
          <t>ÖREBRO LÄN</t>
        </is>
      </c>
      <c r="E2539" t="inlineStr">
        <is>
          <t>LJUSNARSBERG</t>
        </is>
      </c>
      <c r="F2539" t="inlineStr">
        <is>
          <t>Bergvik skog väst AB</t>
        </is>
      </c>
      <c r="G2539" t="n">
        <v>5.6</v>
      </c>
      <c r="H2539" t="n">
        <v>0</v>
      </c>
      <c r="I2539" t="n">
        <v>0</v>
      </c>
      <c r="J2539" t="n">
        <v>0</v>
      </c>
      <c r="K2539" t="n">
        <v>0</v>
      </c>
      <c r="L2539" t="n">
        <v>0</v>
      </c>
      <c r="M2539" t="n">
        <v>0</v>
      </c>
      <c r="N2539" t="n">
        <v>0</v>
      </c>
      <c r="O2539" t="n">
        <v>0</v>
      </c>
      <c r="P2539" t="n">
        <v>0</v>
      </c>
      <c r="Q2539" t="n">
        <v>0</v>
      </c>
      <c r="R2539" s="2" t="inlineStr"/>
    </row>
    <row r="2540" ht="15" customHeight="1">
      <c r="A2540" t="inlineStr">
        <is>
          <t>A 59282-2023</t>
        </is>
      </c>
      <c r="B2540" s="1" t="n">
        <v>45253</v>
      </c>
      <c r="C2540" s="1" t="n">
        <v>45952</v>
      </c>
      <c r="D2540" t="inlineStr">
        <is>
          <t>ÖREBRO LÄN</t>
        </is>
      </c>
      <c r="E2540" t="inlineStr">
        <is>
          <t>LINDESBERG</t>
        </is>
      </c>
      <c r="F2540" t="inlineStr">
        <is>
          <t>Sveaskog</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51996-2023</t>
        </is>
      </c>
      <c r="B2541" s="1" t="n">
        <v>45223</v>
      </c>
      <c r="C2541" s="1" t="n">
        <v>45952</v>
      </c>
      <c r="D2541" t="inlineStr">
        <is>
          <t>ÖREBRO LÄN</t>
        </is>
      </c>
      <c r="E2541" t="inlineStr">
        <is>
          <t>DEGERFORS</t>
        </is>
      </c>
      <c r="F2541" t="inlineStr">
        <is>
          <t>Sveaskog</t>
        </is>
      </c>
      <c r="G2541" t="n">
        <v>2</v>
      </c>
      <c r="H2541" t="n">
        <v>0</v>
      </c>
      <c r="I2541" t="n">
        <v>0</v>
      </c>
      <c r="J2541" t="n">
        <v>0</v>
      </c>
      <c r="K2541" t="n">
        <v>0</v>
      </c>
      <c r="L2541" t="n">
        <v>0</v>
      </c>
      <c r="M2541" t="n">
        <v>0</v>
      </c>
      <c r="N2541" t="n">
        <v>0</v>
      </c>
      <c r="O2541" t="n">
        <v>0</v>
      </c>
      <c r="P2541" t="n">
        <v>0</v>
      </c>
      <c r="Q2541" t="n">
        <v>0</v>
      </c>
      <c r="R2541" s="2" t="inlineStr"/>
    </row>
    <row r="2542" ht="15" customHeight="1">
      <c r="A2542" t="inlineStr">
        <is>
          <t>A 22234-2025</t>
        </is>
      </c>
      <c r="B2542" s="1" t="n">
        <v>45785</v>
      </c>
      <c r="C2542" s="1" t="n">
        <v>45952</v>
      </c>
      <c r="D2542" t="inlineStr">
        <is>
          <t>ÖREBRO LÄN</t>
        </is>
      </c>
      <c r="E2542" t="inlineStr">
        <is>
          <t>KARLSKOGA</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38742-2023</t>
        </is>
      </c>
      <c r="B2543" s="1" t="n">
        <v>45161</v>
      </c>
      <c r="C2543" s="1" t="n">
        <v>45952</v>
      </c>
      <c r="D2543" t="inlineStr">
        <is>
          <t>ÖREBRO LÄN</t>
        </is>
      </c>
      <c r="E2543" t="inlineStr">
        <is>
          <t>KARLSKOGA</t>
        </is>
      </c>
      <c r="F2543" t="inlineStr">
        <is>
          <t>Övriga Aktiebolag</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45481-2023</t>
        </is>
      </c>
      <c r="B2544" s="1" t="n">
        <v>45194</v>
      </c>
      <c r="C2544" s="1" t="n">
        <v>45952</v>
      </c>
      <c r="D2544" t="inlineStr">
        <is>
          <t>ÖREBRO LÄN</t>
        </is>
      </c>
      <c r="E2544" t="inlineStr">
        <is>
          <t>LINDESBERG</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59766-2022</t>
        </is>
      </c>
      <c r="B2545" s="1" t="n">
        <v>44908.49152777778</v>
      </c>
      <c r="C2545" s="1" t="n">
        <v>45952</v>
      </c>
      <c r="D2545" t="inlineStr">
        <is>
          <t>ÖREBRO LÄN</t>
        </is>
      </c>
      <c r="E2545" t="inlineStr">
        <is>
          <t>LINDESBERG</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27013-2024</t>
        </is>
      </c>
      <c r="B2546" s="1" t="n">
        <v>45471.40384259259</v>
      </c>
      <c r="C2546" s="1" t="n">
        <v>45952</v>
      </c>
      <c r="D2546" t="inlineStr">
        <is>
          <t>ÖREBRO LÄN</t>
        </is>
      </c>
      <c r="E2546" t="inlineStr">
        <is>
          <t>LINDESBERG</t>
        </is>
      </c>
      <c r="G2546" t="n">
        <v>5.2</v>
      </c>
      <c r="H2546" t="n">
        <v>0</v>
      </c>
      <c r="I2546" t="n">
        <v>0</v>
      </c>
      <c r="J2546" t="n">
        <v>0</v>
      </c>
      <c r="K2546" t="n">
        <v>0</v>
      </c>
      <c r="L2546" t="n">
        <v>0</v>
      </c>
      <c r="M2546" t="n">
        <v>0</v>
      </c>
      <c r="N2546" t="n">
        <v>0</v>
      </c>
      <c r="O2546" t="n">
        <v>0</v>
      </c>
      <c r="P2546" t="n">
        <v>0</v>
      </c>
      <c r="Q2546" t="n">
        <v>0</v>
      </c>
      <c r="R2546" s="2" t="inlineStr"/>
    </row>
    <row r="2547" ht="15" customHeight="1">
      <c r="A2547" t="inlineStr">
        <is>
          <t>A 47601-2023</t>
        </is>
      </c>
      <c r="B2547" s="1" t="n">
        <v>45203.45681712963</v>
      </c>
      <c r="C2547" s="1" t="n">
        <v>45952</v>
      </c>
      <c r="D2547" t="inlineStr">
        <is>
          <t>ÖREBRO LÄN</t>
        </is>
      </c>
      <c r="E2547" t="inlineStr">
        <is>
          <t>LINDESBERG</t>
        </is>
      </c>
      <c r="G2547" t="n">
        <v>37.6</v>
      </c>
      <c r="H2547" t="n">
        <v>0</v>
      </c>
      <c r="I2547" t="n">
        <v>0</v>
      </c>
      <c r="J2547" t="n">
        <v>0</v>
      </c>
      <c r="K2547" t="n">
        <v>0</v>
      </c>
      <c r="L2547" t="n">
        <v>0</v>
      </c>
      <c r="M2547" t="n">
        <v>0</v>
      </c>
      <c r="N2547" t="n">
        <v>0</v>
      </c>
      <c r="O2547" t="n">
        <v>0</v>
      </c>
      <c r="P2547" t="n">
        <v>0</v>
      </c>
      <c r="Q2547" t="n">
        <v>0</v>
      </c>
      <c r="R2547" s="2" t="inlineStr"/>
    </row>
    <row r="2548" ht="15" customHeight="1">
      <c r="A2548" t="inlineStr">
        <is>
          <t>A 33081-2025</t>
        </is>
      </c>
      <c r="B2548" s="1" t="n">
        <v>45840</v>
      </c>
      <c r="C2548" s="1" t="n">
        <v>45952</v>
      </c>
      <c r="D2548" t="inlineStr">
        <is>
          <t>ÖREBRO LÄN</t>
        </is>
      </c>
      <c r="E2548" t="inlineStr">
        <is>
          <t>ASKERSUND</t>
        </is>
      </c>
      <c r="G2548" t="n">
        <v>10.9</v>
      </c>
      <c r="H2548" t="n">
        <v>0</v>
      </c>
      <c r="I2548" t="n">
        <v>0</v>
      </c>
      <c r="J2548" t="n">
        <v>0</v>
      </c>
      <c r="K2548" t="n">
        <v>0</v>
      </c>
      <c r="L2548" t="n">
        <v>0</v>
      </c>
      <c r="M2548" t="n">
        <v>0</v>
      </c>
      <c r="N2548" t="n">
        <v>0</v>
      </c>
      <c r="O2548" t="n">
        <v>0</v>
      </c>
      <c r="P2548" t="n">
        <v>0</v>
      </c>
      <c r="Q2548" t="n">
        <v>0</v>
      </c>
      <c r="R2548" s="2" t="inlineStr"/>
    </row>
    <row r="2549" ht="15" customHeight="1">
      <c r="A2549" t="inlineStr">
        <is>
          <t>A 22244-2025</t>
        </is>
      </c>
      <c r="B2549" s="1" t="n">
        <v>45785.67974537037</v>
      </c>
      <c r="C2549" s="1" t="n">
        <v>45952</v>
      </c>
      <c r="D2549" t="inlineStr">
        <is>
          <t>ÖREBRO LÄN</t>
        </is>
      </c>
      <c r="E2549" t="inlineStr">
        <is>
          <t>KARLSKOGA</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26338-2021</t>
        </is>
      </c>
      <c r="B2550" s="1" t="n">
        <v>44347</v>
      </c>
      <c r="C2550" s="1" t="n">
        <v>45952</v>
      </c>
      <c r="D2550" t="inlineStr">
        <is>
          <t>ÖREBRO LÄN</t>
        </is>
      </c>
      <c r="E2550" t="inlineStr">
        <is>
          <t>ÖREBRO</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36747-2024</t>
        </is>
      </c>
      <c r="B2551" s="1" t="n">
        <v>45538.34193287037</v>
      </c>
      <c r="C2551" s="1" t="n">
        <v>45952</v>
      </c>
      <c r="D2551" t="inlineStr">
        <is>
          <t>ÖREBRO LÄN</t>
        </is>
      </c>
      <c r="E2551" t="inlineStr">
        <is>
          <t>LINDESBERG</t>
        </is>
      </c>
      <c r="F2551" t="inlineStr">
        <is>
          <t>Sveaskog</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11637-2024</t>
        </is>
      </c>
      <c r="B2552" s="1" t="n">
        <v>45373</v>
      </c>
      <c r="C2552" s="1" t="n">
        <v>45952</v>
      </c>
      <c r="D2552" t="inlineStr">
        <is>
          <t>ÖREBRO LÄN</t>
        </is>
      </c>
      <c r="E2552" t="inlineStr">
        <is>
          <t>ASKERSUND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12567-2023</t>
        </is>
      </c>
      <c r="B2553" s="1" t="n">
        <v>45000</v>
      </c>
      <c r="C2553" s="1" t="n">
        <v>45952</v>
      </c>
      <c r="D2553" t="inlineStr">
        <is>
          <t>ÖREBRO LÄN</t>
        </is>
      </c>
      <c r="E2553" t="inlineStr">
        <is>
          <t>ASKERSUND</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13305-2023</t>
        </is>
      </c>
      <c r="B2554" s="1" t="n">
        <v>45005.35967592592</v>
      </c>
      <c r="C2554" s="1" t="n">
        <v>45952</v>
      </c>
      <c r="D2554" t="inlineStr">
        <is>
          <t>ÖREBRO LÄN</t>
        </is>
      </c>
      <c r="E2554" t="inlineStr">
        <is>
          <t>LINDESBERG</t>
        </is>
      </c>
      <c r="G2554" t="n">
        <v>5.5</v>
      </c>
      <c r="H2554" t="n">
        <v>0</v>
      </c>
      <c r="I2554" t="n">
        <v>0</v>
      </c>
      <c r="J2554" t="n">
        <v>0</v>
      </c>
      <c r="K2554" t="n">
        <v>0</v>
      </c>
      <c r="L2554" t="n">
        <v>0</v>
      </c>
      <c r="M2554" t="n">
        <v>0</v>
      </c>
      <c r="N2554" t="n">
        <v>0</v>
      </c>
      <c r="O2554" t="n">
        <v>0</v>
      </c>
      <c r="P2554" t="n">
        <v>0</v>
      </c>
      <c r="Q2554" t="n">
        <v>0</v>
      </c>
      <c r="R2554" s="2" t="inlineStr"/>
    </row>
    <row r="2555" ht="15" customHeight="1">
      <c r="A2555" t="inlineStr">
        <is>
          <t>A 13368-2023</t>
        </is>
      </c>
      <c r="B2555" s="1" t="n">
        <v>45005.47820601852</v>
      </c>
      <c r="C2555" s="1" t="n">
        <v>45952</v>
      </c>
      <c r="D2555" t="inlineStr">
        <is>
          <t>ÖREBRO LÄN</t>
        </is>
      </c>
      <c r="E2555" t="inlineStr">
        <is>
          <t>LINDESBERG</t>
        </is>
      </c>
      <c r="F2555" t="inlineStr">
        <is>
          <t>Kommuner</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16292-2024</t>
        </is>
      </c>
      <c r="B2556" s="1" t="n">
        <v>45407</v>
      </c>
      <c r="C2556" s="1" t="n">
        <v>45952</v>
      </c>
      <c r="D2556" t="inlineStr">
        <is>
          <t>ÖREBRO LÄN</t>
        </is>
      </c>
      <c r="E2556" t="inlineStr">
        <is>
          <t>ASKERSUND</t>
        </is>
      </c>
      <c r="G2556" t="n">
        <v>5.9</v>
      </c>
      <c r="H2556" t="n">
        <v>0</v>
      </c>
      <c r="I2556" t="n">
        <v>0</v>
      </c>
      <c r="J2556" t="n">
        <v>0</v>
      </c>
      <c r="K2556" t="n">
        <v>0</v>
      </c>
      <c r="L2556" t="n">
        <v>0</v>
      </c>
      <c r="M2556" t="n">
        <v>0</v>
      </c>
      <c r="N2556" t="n">
        <v>0</v>
      </c>
      <c r="O2556" t="n">
        <v>0</v>
      </c>
      <c r="P2556" t="n">
        <v>0</v>
      </c>
      <c r="Q2556" t="n">
        <v>0</v>
      </c>
      <c r="R2556" s="2" t="inlineStr"/>
    </row>
    <row r="2557" ht="15" customHeight="1">
      <c r="A2557" t="inlineStr">
        <is>
          <t>A 58629-2024</t>
        </is>
      </c>
      <c r="B2557" s="1" t="n">
        <v>45635.57008101852</v>
      </c>
      <c r="C2557" s="1" t="n">
        <v>45952</v>
      </c>
      <c r="D2557" t="inlineStr">
        <is>
          <t>ÖREBRO LÄN</t>
        </is>
      </c>
      <c r="E2557" t="inlineStr">
        <is>
          <t>DEGERFORS</t>
        </is>
      </c>
      <c r="F2557" t="inlineStr">
        <is>
          <t>Sveaskog</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47907-2024</t>
        </is>
      </c>
      <c r="B2558" s="1" t="n">
        <v>45589.31677083333</v>
      </c>
      <c r="C2558" s="1" t="n">
        <v>45952</v>
      </c>
      <c r="D2558" t="inlineStr">
        <is>
          <t>ÖREBRO LÄN</t>
        </is>
      </c>
      <c r="E2558" t="inlineStr">
        <is>
          <t>HÄLLEFORS</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59963-2024</t>
        </is>
      </c>
      <c r="B2559" s="1" t="n">
        <v>45642.35274305556</v>
      </c>
      <c r="C2559" s="1" t="n">
        <v>45952</v>
      </c>
      <c r="D2559" t="inlineStr">
        <is>
          <t>ÖREBRO LÄN</t>
        </is>
      </c>
      <c r="E2559" t="inlineStr">
        <is>
          <t>HÄLLEFORS</t>
        </is>
      </c>
      <c r="F2559" t="inlineStr">
        <is>
          <t>Bergvik skog väst AB</t>
        </is>
      </c>
      <c r="G2559" t="n">
        <v>8.4</v>
      </c>
      <c r="H2559" t="n">
        <v>0</v>
      </c>
      <c r="I2559" t="n">
        <v>0</v>
      </c>
      <c r="J2559" t="n">
        <v>0</v>
      </c>
      <c r="K2559" t="n">
        <v>0</v>
      </c>
      <c r="L2559" t="n">
        <v>0</v>
      </c>
      <c r="M2559" t="n">
        <v>0</v>
      </c>
      <c r="N2559" t="n">
        <v>0</v>
      </c>
      <c r="O2559" t="n">
        <v>0</v>
      </c>
      <c r="P2559" t="n">
        <v>0</v>
      </c>
      <c r="Q2559" t="n">
        <v>0</v>
      </c>
      <c r="R2559" s="2" t="inlineStr"/>
    </row>
    <row r="2560" ht="15" customHeight="1">
      <c r="A2560" t="inlineStr">
        <is>
          <t>A 22078-2025</t>
        </is>
      </c>
      <c r="B2560" s="1" t="n">
        <v>45785.4253125</v>
      </c>
      <c r="C2560" s="1" t="n">
        <v>45952</v>
      </c>
      <c r="D2560" t="inlineStr">
        <is>
          <t>ÖREBRO LÄN</t>
        </is>
      </c>
      <c r="E2560" t="inlineStr">
        <is>
          <t>LINDESBERG</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56912-2024</t>
        </is>
      </c>
      <c r="B2561" s="1" t="n">
        <v>45628.59233796296</v>
      </c>
      <c r="C2561" s="1" t="n">
        <v>45952</v>
      </c>
      <c r="D2561" t="inlineStr">
        <is>
          <t>ÖREBRO LÄN</t>
        </is>
      </c>
      <c r="E2561" t="inlineStr">
        <is>
          <t>LINDESBERG</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47766-2025</t>
        </is>
      </c>
      <c r="B2562" s="1" t="n">
        <v>45931</v>
      </c>
      <c r="C2562" s="1" t="n">
        <v>45952</v>
      </c>
      <c r="D2562" t="inlineStr">
        <is>
          <t>ÖREBRO LÄN</t>
        </is>
      </c>
      <c r="E2562" t="inlineStr">
        <is>
          <t>DEGERFORS</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19055-2024</t>
        </is>
      </c>
      <c r="B2563" s="1" t="n">
        <v>45427.79534722222</v>
      </c>
      <c r="C2563" s="1" t="n">
        <v>45952</v>
      </c>
      <c r="D2563" t="inlineStr">
        <is>
          <t>ÖREBRO LÄN</t>
        </is>
      </c>
      <c r="E2563" t="inlineStr">
        <is>
          <t>HÄLLEFORS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15745-2024</t>
        </is>
      </c>
      <c r="B2564" s="1" t="n">
        <v>45404.55239583334</v>
      </c>
      <c r="C2564" s="1" t="n">
        <v>45952</v>
      </c>
      <c r="D2564" t="inlineStr">
        <is>
          <t>ÖREBRO LÄN</t>
        </is>
      </c>
      <c r="E2564" t="inlineStr">
        <is>
          <t>LINDESBERG</t>
        </is>
      </c>
      <c r="F2564" t="inlineStr">
        <is>
          <t>Sveaskog</t>
        </is>
      </c>
      <c r="G2564" t="n">
        <v>6.2</v>
      </c>
      <c r="H2564" t="n">
        <v>0</v>
      </c>
      <c r="I2564" t="n">
        <v>0</v>
      </c>
      <c r="J2564" t="n">
        <v>0</v>
      </c>
      <c r="K2564" t="n">
        <v>0</v>
      </c>
      <c r="L2564" t="n">
        <v>0</v>
      </c>
      <c r="M2564" t="n">
        <v>0</v>
      </c>
      <c r="N2564" t="n">
        <v>0</v>
      </c>
      <c r="O2564" t="n">
        <v>0</v>
      </c>
      <c r="P2564" t="n">
        <v>0</v>
      </c>
      <c r="Q2564" t="n">
        <v>0</v>
      </c>
      <c r="R2564" s="2" t="inlineStr"/>
    </row>
    <row r="2565" ht="15" customHeight="1">
      <c r="A2565" t="inlineStr">
        <is>
          <t>A 15750-2024</t>
        </is>
      </c>
      <c r="B2565" s="1" t="n">
        <v>45404.55601851852</v>
      </c>
      <c r="C2565" s="1" t="n">
        <v>45952</v>
      </c>
      <c r="D2565" t="inlineStr">
        <is>
          <t>ÖREBRO LÄN</t>
        </is>
      </c>
      <c r="E2565" t="inlineStr">
        <is>
          <t>LINDESBERG</t>
        </is>
      </c>
      <c r="F2565" t="inlineStr">
        <is>
          <t>Sveaskog</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15781-2024</t>
        </is>
      </c>
      <c r="B2566" s="1" t="n">
        <v>45404.60309027778</v>
      </c>
      <c r="C2566" s="1" t="n">
        <v>45952</v>
      </c>
      <c r="D2566" t="inlineStr">
        <is>
          <t>ÖREBRO LÄN</t>
        </is>
      </c>
      <c r="E2566" t="inlineStr">
        <is>
          <t>KUMLA</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15806-2024</t>
        </is>
      </c>
      <c r="B2567" s="1" t="n">
        <v>45404.66259259259</v>
      </c>
      <c r="C2567" s="1" t="n">
        <v>45952</v>
      </c>
      <c r="D2567" t="inlineStr">
        <is>
          <t>ÖREBRO LÄN</t>
        </is>
      </c>
      <c r="E2567" t="inlineStr">
        <is>
          <t>ASKERSUND</t>
        </is>
      </c>
      <c r="F2567" t="inlineStr">
        <is>
          <t>Sveaskog</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36090-2024</t>
        </is>
      </c>
      <c r="B2568" s="1" t="n">
        <v>45533.68363425926</v>
      </c>
      <c r="C2568" s="1" t="n">
        <v>45952</v>
      </c>
      <c r="D2568" t="inlineStr">
        <is>
          <t>ÖREBRO LÄN</t>
        </is>
      </c>
      <c r="E2568" t="inlineStr">
        <is>
          <t>HÄLLEFORS</t>
        </is>
      </c>
      <c r="F2568" t="inlineStr">
        <is>
          <t>Bergvik skog väst AB</t>
        </is>
      </c>
      <c r="G2568" t="n">
        <v>5.2</v>
      </c>
      <c r="H2568" t="n">
        <v>0</v>
      </c>
      <c r="I2568" t="n">
        <v>0</v>
      </c>
      <c r="J2568" t="n">
        <v>0</v>
      </c>
      <c r="K2568" t="n">
        <v>0</v>
      </c>
      <c r="L2568" t="n">
        <v>0</v>
      </c>
      <c r="M2568" t="n">
        <v>0</v>
      </c>
      <c r="N2568" t="n">
        <v>0</v>
      </c>
      <c r="O2568" t="n">
        <v>0</v>
      </c>
      <c r="P2568" t="n">
        <v>0</v>
      </c>
      <c r="Q2568" t="n">
        <v>0</v>
      </c>
      <c r="R2568" s="2" t="inlineStr"/>
    </row>
    <row r="2569" ht="15" customHeight="1">
      <c r="A2569" t="inlineStr">
        <is>
          <t>A 53355-2023</t>
        </is>
      </c>
      <c r="B2569" s="1" t="n">
        <v>45229.66430555555</v>
      </c>
      <c r="C2569" s="1" t="n">
        <v>45952</v>
      </c>
      <c r="D2569" t="inlineStr">
        <is>
          <t>ÖREBRO LÄN</t>
        </is>
      </c>
      <c r="E2569" t="inlineStr">
        <is>
          <t>LINDESBERG</t>
        </is>
      </c>
      <c r="F2569" t="inlineStr">
        <is>
          <t>Sveaskog</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32076-2023</t>
        </is>
      </c>
      <c r="B2570" s="1" t="n">
        <v>45119.58324074074</v>
      </c>
      <c r="C2570" s="1" t="n">
        <v>45952</v>
      </c>
      <c r="D2570" t="inlineStr">
        <is>
          <t>ÖREBRO LÄN</t>
        </is>
      </c>
      <c r="E2570" t="inlineStr">
        <is>
          <t>ÖREBRO</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54149-2024</t>
        </is>
      </c>
      <c r="B2571" s="1" t="n">
        <v>45616</v>
      </c>
      <c r="C2571" s="1" t="n">
        <v>45952</v>
      </c>
      <c r="D2571" t="inlineStr">
        <is>
          <t>ÖREBRO LÄN</t>
        </is>
      </c>
      <c r="E2571" t="inlineStr">
        <is>
          <t>ÖREBRO</t>
        </is>
      </c>
      <c r="G2571" t="n">
        <v>2.7</v>
      </c>
      <c r="H2571" t="n">
        <v>0</v>
      </c>
      <c r="I2571" t="n">
        <v>0</v>
      </c>
      <c r="J2571" t="n">
        <v>0</v>
      </c>
      <c r="K2571" t="n">
        <v>0</v>
      </c>
      <c r="L2571" t="n">
        <v>0</v>
      </c>
      <c r="M2571" t="n">
        <v>0</v>
      </c>
      <c r="N2571" t="n">
        <v>0</v>
      </c>
      <c r="O2571" t="n">
        <v>0</v>
      </c>
      <c r="P2571" t="n">
        <v>0</v>
      </c>
      <c r="Q2571" t="n">
        <v>0</v>
      </c>
      <c r="R2571" s="2" t="inlineStr"/>
    </row>
    <row r="2572" ht="15" customHeight="1">
      <c r="A2572" t="inlineStr">
        <is>
          <t>A 8460-2023</t>
        </is>
      </c>
      <c r="B2572" s="1" t="n">
        <v>44977.48980324074</v>
      </c>
      <c r="C2572" s="1" t="n">
        <v>45952</v>
      </c>
      <c r="D2572" t="inlineStr">
        <is>
          <t>ÖREBRO LÄN</t>
        </is>
      </c>
      <c r="E2572" t="inlineStr">
        <is>
          <t>KUMLA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62308-2023</t>
        </is>
      </c>
      <c r="B2573" s="1" t="n">
        <v>45267.69052083333</v>
      </c>
      <c r="C2573" s="1" t="n">
        <v>45952</v>
      </c>
      <c r="D2573" t="inlineStr">
        <is>
          <t>ÖREBRO LÄN</t>
        </is>
      </c>
      <c r="E2573" t="inlineStr">
        <is>
          <t>LINDESBERG</t>
        </is>
      </c>
      <c r="F2573" t="inlineStr">
        <is>
          <t>Naturvårdsverket</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53472-2022</t>
        </is>
      </c>
      <c r="B2574" s="1" t="n">
        <v>44879</v>
      </c>
      <c r="C2574" s="1" t="n">
        <v>45952</v>
      </c>
      <c r="D2574" t="inlineStr">
        <is>
          <t>ÖREBRO LÄN</t>
        </is>
      </c>
      <c r="E2574" t="inlineStr">
        <is>
          <t>NORA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72698-2021</t>
        </is>
      </c>
      <c r="B2575" s="1" t="n">
        <v>44546.6679050926</v>
      </c>
      <c r="C2575" s="1" t="n">
        <v>45952</v>
      </c>
      <c r="D2575" t="inlineStr">
        <is>
          <t>ÖREBRO LÄN</t>
        </is>
      </c>
      <c r="E2575" t="inlineStr">
        <is>
          <t>LINDESBERG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21845-2025</t>
        </is>
      </c>
      <c r="B2576" s="1" t="n">
        <v>45784.33908564815</v>
      </c>
      <c r="C2576" s="1" t="n">
        <v>45952</v>
      </c>
      <c r="D2576" t="inlineStr">
        <is>
          <t>ÖREBRO LÄN</t>
        </is>
      </c>
      <c r="E2576" t="inlineStr">
        <is>
          <t>KARLSKOGA</t>
        </is>
      </c>
      <c r="F2576" t="inlineStr">
        <is>
          <t>Sveaskog</t>
        </is>
      </c>
      <c r="G2576" t="n">
        <v>13.3</v>
      </c>
      <c r="H2576" t="n">
        <v>0</v>
      </c>
      <c r="I2576" t="n">
        <v>0</v>
      </c>
      <c r="J2576" t="n">
        <v>0</v>
      </c>
      <c r="K2576" t="n">
        <v>0</v>
      </c>
      <c r="L2576" t="n">
        <v>0</v>
      </c>
      <c r="M2576" t="n">
        <v>0</v>
      </c>
      <c r="N2576" t="n">
        <v>0</v>
      </c>
      <c r="O2576" t="n">
        <v>0</v>
      </c>
      <c r="P2576" t="n">
        <v>0</v>
      </c>
      <c r="Q2576" t="n">
        <v>0</v>
      </c>
      <c r="R2576" s="2" t="inlineStr"/>
    </row>
    <row r="2577" ht="15" customHeight="1">
      <c r="A2577" t="inlineStr">
        <is>
          <t>A 21853-2025</t>
        </is>
      </c>
      <c r="B2577" s="1" t="n">
        <v>45784.34652777778</v>
      </c>
      <c r="C2577" s="1" t="n">
        <v>45952</v>
      </c>
      <c r="D2577" t="inlineStr">
        <is>
          <t>ÖREBRO LÄN</t>
        </is>
      </c>
      <c r="E2577" t="inlineStr">
        <is>
          <t>HÄLLEFORS</t>
        </is>
      </c>
      <c r="G2577" t="n">
        <v>23.4</v>
      </c>
      <c r="H2577" t="n">
        <v>0</v>
      </c>
      <c r="I2577" t="n">
        <v>0</v>
      </c>
      <c r="J2577" t="n">
        <v>0</v>
      </c>
      <c r="K2577" t="n">
        <v>0</v>
      </c>
      <c r="L2577" t="n">
        <v>0</v>
      </c>
      <c r="M2577" t="n">
        <v>0</v>
      </c>
      <c r="N2577" t="n">
        <v>0</v>
      </c>
      <c r="O2577" t="n">
        <v>0</v>
      </c>
      <c r="P2577" t="n">
        <v>0</v>
      </c>
      <c r="Q2577" t="n">
        <v>0</v>
      </c>
      <c r="R2577" s="2" t="inlineStr"/>
    </row>
    <row r="2578" ht="15" customHeight="1">
      <c r="A2578" t="inlineStr">
        <is>
          <t>A 19110-2025</t>
        </is>
      </c>
      <c r="B2578" s="1" t="n">
        <v>45768.49947916667</v>
      </c>
      <c r="C2578" s="1" t="n">
        <v>45952</v>
      </c>
      <c r="D2578" t="inlineStr">
        <is>
          <t>ÖREBRO LÄN</t>
        </is>
      </c>
      <c r="E2578" t="inlineStr">
        <is>
          <t>LINDESBERG</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16952-2022</t>
        </is>
      </c>
      <c r="B2579" s="1" t="n">
        <v>44676.48239583334</v>
      </c>
      <c r="C2579" s="1" t="n">
        <v>45952</v>
      </c>
      <c r="D2579" t="inlineStr">
        <is>
          <t>ÖREBRO LÄN</t>
        </is>
      </c>
      <c r="E2579" t="inlineStr">
        <is>
          <t>ASKERSUND</t>
        </is>
      </c>
      <c r="G2579" t="n">
        <v>3.6</v>
      </c>
      <c r="H2579" t="n">
        <v>0</v>
      </c>
      <c r="I2579" t="n">
        <v>0</v>
      </c>
      <c r="J2579" t="n">
        <v>0</v>
      </c>
      <c r="K2579" t="n">
        <v>0</v>
      </c>
      <c r="L2579" t="n">
        <v>0</v>
      </c>
      <c r="M2579" t="n">
        <v>0</v>
      </c>
      <c r="N2579" t="n">
        <v>0</v>
      </c>
      <c r="O2579" t="n">
        <v>0</v>
      </c>
      <c r="P2579" t="n">
        <v>0</v>
      </c>
      <c r="Q2579" t="n">
        <v>0</v>
      </c>
      <c r="R2579" s="2" t="inlineStr"/>
    </row>
    <row r="2580" ht="15" customHeight="1">
      <c r="A2580" t="inlineStr">
        <is>
          <t>A 16953-2022</t>
        </is>
      </c>
      <c r="B2580" s="1" t="n">
        <v>44676.48760416666</v>
      </c>
      <c r="C2580" s="1" t="n">
        <v>45952</v>
      </c>
      <c r="D2580" t="inlineStr">
        <is>
          <t>ÖREBRO LÄN</t>
        </is>
      </c>
      <c r="E2580" t="inlineStr">
        <is>
          <t>ASKERSUND</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47785-2025</t>
        </is>
      </c>
      <c r="B2581" s="1" t="n">
        <v>45931</v>
      </c>
      <c r="C2581" s="1" t="n">
        <v>45952</v>
      </c>
      <c r="D2581" t="inlineStr">
        <is>
          <t>ÖREBRO LÄN</t>
        </is>
      </c>
      <c r="E2581" t="inlineStr">
        <is>
          <t>DEGERFORS</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52826-2024</t>
        </is>
      </c>
      <c r="B2582" s="1" t="n">
        <v>45610.59243055555</v>
      </c>
      <c r="C2582" s="1" t="n">
        <v>45952</v>
      </c>
      <c r="D2582" t="inlineStr">
        <is>
          <t>ÖREBRO LÄN</t>
        </is>
      </c>
      <c r="E2582" t="inlineStr">
        <is>
          <t>KARLSKOGA</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52829-2024</t>
        </is>
      </c>
      <c r="B2583" s="1" t="n">
        <v>45610.59344907408</v>
      </c>
      <c r="C2583" s="1" t="n">
        <v>45952</v>
      </c>
      <c r="D2583" t="inlineStr">
        <is>
          <t>ÖREBRO LÄN</t>
        </is>
      </c>
      <c r="E2583" t="inlineStr">
        <is>
          <t>KARLSKOGA</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39178-2022</t>
        </is>
      </c>
      <c r="B2584" s="1" t="n">
        <v>44817.50186342592</v>
      </c>
      <c r="C2584" s="1" t="n">
        <v>45952</v>
      </c>
      <c r="D2584" t="inlineStr">
        <is>
          <t>ÖREBRO LÄN</t>
        </is>
      </c>
      <c r="E2584" t="inlineStr">
        <is>
          <t>HÄLLEFORS</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53234-2023</t>
        </is>
      </c>
      <c r="B2585" s="1" t="n">
        <v>45229</v>
      </c>
      <c r="C2585" s="1" t="n">
        <v>45952</v>
      </c>
      <c r="D2585" t="inlineStr">
        <is>
          <t>ÖREBRO LÄN</t>
        </is>
      </c>
      <c r="E2585" t="inlineStr">
        <is>
          <t>ÖREBRO</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21338-2025</t>
        </is>
      </c>
      <c r="B2586" s="1" t="n">
        <v>45780</v>
      </c>
      <c r="C2586" s="1" t="n">
        <v>45952</v>
      </c>
      <c r="D2586" t="inlineStr">
        <is>
          <t>ÖREBRO LÄN</t>
        </is>
      </c>
      <c r="E2586" t="inlineStr">
        <is>
          <t>ÖREBRO</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6299-2024</t>
        </is>
      </c>
      <c r="B2587" s="1" t="n">
        <v>45338.34609953704</v>
      </c>
      <c r="C2587" s="1" t="n">
        <v>45952</v>
      </c>
      <c r="D2587" t="inlineStr">
        <is>
          <t>ÖREBRO LÄN</t>
        </is>
      </c>
      <c r="E2587" t="inlineStr">
        <is>
          <t>LAXÅ</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7990-2025</t>
        </is>
      </c>
      <c r="B2588" s="1" t="n">
        <v>45707</v>
      </c>
      <c r="C2588" s="1" t="n">
        <v>45952</v>
      </c>
      <c r="D2588" t="inlineStr">
        <is>
          <t>ÖREBRO LÄN</t>
        </is>
      </c>
      <c r="E2588" t="inlineStr">
        <is>
          <t>LINDESBERG</t>
        </is>
      </c>
      <c r="G2588" t="n">
        <v>4.4</v>
      </c>
      <c r="H2588" t="n">
        <v>0</v>
      </c>
      <c r="I2588" t="n">
        <v>0</v>
      </c>
      <c r="J2588" t="n">
        <v>0</v>
      </c>
      <c r="K2588" t="n">
        <v>0</v>
      </c>
      <c r="L2588" t="n">
        <v>0</v>
      </c>
      <c r="M2588" t="n">
        <v>0</v>
      </c>
      <c r="N2588" t="n">
        <v>0</v>
      </c>
      <c r="O2588" t="n">
        <v>0</v>
      </c>
      <c r="P2588" t="n">
        <v>0</v>
      </c>
      <c r="Q2588" t="n">
        <v>0</v>
      </c>
      <c r="R2588" s="2" t="inlineStr"/>
    </row>
    <row r="2589" ht="15" customHeight="1">
      <c r="A2589" t="inlineStr">
        <is>
          <t>A 16135-2025</t>
        </is>
      </c>
      <c r="B2589" s="1" t="n">
        <v>45750.44355324074</v>
      </c>
      <c r="C2589" s="1" t="n">
        <v>45952</v>
      </c>
      <c r="D2589" t="inlineStr">
        <is>
          <t>ÖREBRO LÄN</t>
        </is>
      </c>
      <c r="E2589" t="inlineStr">
        <is>
          <t>HÄLLEFORS</t>
        </is>
      </c>
      <c r="F2589" t="inlineStr">
        <is>
          <t>Kyrkan</t>
        </is>
      </c>
      <c r="G2589" t="n">
        <v>4.6</v>
      </c>
      <c r="H2589" t="n">
        <v>0</v>
      </c>
      <c r="I2589" t="n">
        <v>0</v>
      </c>
      <c r="J2589" t="n">
        <v>0</v>
      </c>
      <c r="K2589" t="n">
        <v>0</v>
      </c>
      <c r="L2589" t="n">
        <v>0</v>
      </c>
      <c r="M2589" t="n">
        <v>0</v>
      </c>
      <c r="N2589" t="n">
        <v>0</v>
      </c>
      <c r="O2589" t="n">
        <v>0</v>
      </c>
      <c r="P2589" t="n">
        <v>0</v>
      </c>
      <c r="Q2589" t="n">
        <v>0</v>
      </c>
      <c r="R2589" s="2" t="inlineStr"/>
    </row>
    <row r="2590" ht="15" customHeight="1">
      <c r="A2590" t="inlineStr">
        <is>
          <t>A 29721-2023</t>
        </is>
      </c>
      <c r="B2590" s="1" t="n">
        <v>45107</v>
      </c>
      <c r="C2590" s="1" t="n">
        <v>45952</v>
      </c>
      <c r="D2590" t="inlineStr">
        <is>
          <t>ÖREBRO LÄN</t>
        </is>
      </c>
      <c r="E2590" t="inlineStr">
        <is>
          <t>LJUSNARSBERG</t>
        </is>
      </c>
      <c r="F2590" t="inlineStr">
        <is>
          <t>Sveaskog</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7202-2023</t>
        </is>
      </c>
      <c r="B2591" s="1" t="n">
        <v>44965</v>
      </c>
      <c r="C2591" s="1" t="n">
        <v>45952</v>
      </c>
      <c r="D2591" t="inlineStr">
        <is>
          <t>ÖREBRO LÄN</t>
        </is>
      </c>
      <c r="E2591" t="inlineStr">
        <is>
          <t>LEKEBERG</t>
        </is>
      </c>
      <c r="G2591" t="n">
        <v>2.6</v>
      </c>
      <c r="H2591" t="n">
        <v>0</v>
      </c>
      <c r="I2591" t="n">
        <v>0</v>
      </c>
      <c r="J2591" t="n">
        <v>0</v>
      </c>
      <c r="K2591" t="n">
        <v>0</v>
      </c>
      <c r="L2591" t="n">
        <v>0</v>
      </c>
      <c r="M2591" t="n">
        <v>0</v>
      </c>
      <c r="N2591" t="n">
        <v>0</v>
      </c>
      <c r="O2591" t="n">
        <v>0</v>
      </c>
      <c r="P2591" t="n">
        <v>0</v>
      </c>
      <c r="Q2591" t="n">
        <v>0</v>
      </c>
      <c r="R2591" s="2" t="inlineStr"/>
    </row>
    <row r="2592" ht="15" customHeight="1">
      <c r="A2592" t="inlineStr">
        <is>
          <t>A 15130-2025</t>
        </is>
      </c>
      <c r="B2592" s="1" t="n">
        <v>45744.38372685185</v>
      </c>
      <c r="C2592" s="1" t="n">
        <v>45952</v>
      </c>
      <c r="D2592" t="inlineStr">
        <is>
          <t>ÖREBRO LÄN</t>
        </is>
      </c>
      <c r="E2592" t="inlineStr">
        <is>
          <t>LAXÅ</t>
        </is>
      </c>
      <c r="F2592" t="inlineStr">
        <is>
          <t>Sveaskog</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36680-2024</t>
        </is>
      </c>
      <c r="B2593" s="1" t="n">
        <v>45537.65305555556</v>
      </c>
      <c r="C2593" s="1" t="n">
        <v>45952</v>
      </c>
      <c r="D2593" t="inlineStr">
        <is>
          <t>ÖREBRO LÄN</t>
        </is>
      </c>
      <c r="E2593" t="inlineStr">
        <is>
          <t>LINDESBERG</t>
        </is>
      </c>
      <c r="F2593" t="inlineStr">
        <is>
          <t>Sveaskog</t>
        </is>
      </c>
      <c r="G2593" t="n">
        <v>2.1</v>
      </c>
      <c r="H2593" t="n">
        <v>0</v>
      </c>
      <c r="I2593" t="n">
        <v>0</v>
      </c>
      <c r="J2593" t="n">
        <v>0</v>
      </c>
      <c r="K2593" t="n">
        <v>0</v>
      </c>
      <c r="L2593" t="n">
        <v>0</v>
      </c>
      <c r="M2593" t="n">
        <v>0</v>
      </c>
      <c r="N2593" t="n">
        <v>0</v>
      </c>
      <c r="O2593" t="n">
        <v>0</v>
      </c>
      <c r="P2593" t="n">
        <v>0</v>
      </c>
      <c r="Q2593" t="n">
        <v>0</v>
      </c>
      <c r="R2593" s="2" t="inlineStr"/>
    </row>
    <row r="2594" ht="15" customHeight="1">
      <c r="A2594" t="inlineStr">
        <is>
          <t>A 53838-2024</t>
        </is>
      </c>
      <c r="B2594" s="1" t="n">
        <v>45614</v>
      </c>
      <c r="C2594" s="1" t="n">
        <v>45952</v>
      </c>
      <c r="D2594" t="inlineStr">
        <is>
          <t>ÖREBRO LÄN</t>
        </is>
      </c>
      <c r="E2594" t="inlineStr">
        <is>
          <t>DEGERFORS</t>
        </is>
      </c>
      <c r="G2594" t="n">
        <v>4.3</v>
      </c>
      <c r="H2594" t="n">
        <v>0</v>
      </c>
      <c r="I2594" t="n">
        <v>0</v>
      </c>
      <c r="J2594" t="n">
        <v>0</v>
      </c>
      <c r="K2594" t="n">
        <v>0</v>
      </c>
      <c r="L2594" t="n">
        <v>0</v>
      </c>
      <c r="M2594" t="n">
        <v>0</v>
      </c>
      <c r="N2594" t="n">
        <v>0</v>
      </c>
      <c r="O2594" t="n">
        <v>0</v>
      </c>
      <c r="P2594" t="n">
        <v>0</v>
      </c>
      <c r="Q2594" t="n">
        <v>0</v>
      </c>
      <c r="R2594" s="2" t="inlineStr"/>
    </row>
    <row r="2595" ht="15" customHeight="1">
      <c r="A2595" t="inlineStr">
        <is>
          <t>A 47411-2025</t>
        </is>
      </c>
      <c r="B2595" s="1" t="n">
        <v>45930.61648148148</v>
      </c>
      <c r="C2595" s="1" t="n">
        <v>45952</v>
      </c>
      <c r="D2595" t="inlineStr">
        <is>
          <t>ÖREBRO LÄN</t>
        </is>
      </c>
      <c r="E2595" t="inlineStr">
        <is>
          <t>LJUSNARSBERG</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59757-2023</t>
        </is>
      </c>
      <c r="B2596" s="1" t="n">
        <v>45257.40833333333</v>
      </c>
      <c r="C2596" s="1" t="n">
        <v>45952</v>
      </c>
      <c r="D2596" t="inlineStr">
        <is>
          <t>ÖREBRO LÄN</t>
        </is>
      </c>
      <c r="E2596" t="inlineStr">
        <is>
          <t>ÖREBRO</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27134-2024</t>
        </is>
      </c>
      <c r="B2597" s="1" t="n">
        <v>45471.52878472222</v>
      </c>
      <c r="C2597" s="1" t="n">
        <v>45952</v>
      </c>
      <c r="D2597" t="inlineStr">
        <is>
          <t>ÖREBRO LÄN</t>
        </is>
      </c>
      <c r="E2597" t="inlineStr">
        <is>
          <t>LINDESBERG</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46678-2023</t>
        </is>
      </c>
      <c r="B2598" s="1" t="n">
        <v>45194</v>
      </c>
      <c r="C2598" s="1" t="n">
        <v>45952</v>
      </c>
      <c r="D2598" t="inlineStr">
        <is>
          <t>ÖREBRO LÄN</t>
        </is>
      </c>
      <c r="E2598" t="inlineStr">
        <is>
          <t>LINDESBERG</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12871-2021</t>
        </is>
      </c>
      <c r="B2599" s="1" t="n">
        <v>44271.42121527778</v>
      </c>
      <c r="C2599" s="1" t="n">
        <v>45952</v>
      </c>
      <c r="D2599" t="inlineStr">
        <is>
          <t>ÖREBRO LÄN</t>
        </is>
      </c>
      <c r="E2599" t="inlineStr">
        <is>
          <t>ÖREBRO</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56886-2024</t>
        </is>
      </c>
      <c r="B2600" s="1" t="n">
        <v>45628.57332175926</v>
      </c>
      <c r="C2600" s="1" t="n">
        <v>45952</v>
      </c>
      <c r="D2600" t="inlineStr">
        <is>
          <t>ÖREBRO LÄN</t>
        </is>
      </c>
      <c r="E2600" t="inlineStr">
        <is>
          <t>DEGERFORS</t>
        </is>
      </c>
      <c r="F2600" t="inlineStr">
        <is>
          <t>Sveaskog</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11067-2025</t>
        </is>
      </c>
      <c r="B2601" s="1" t="n">
        <v>45723</v>
      </c>
      <c r="C2601" s="1" t="n">
        <v>45952</v>
      </c>
      <c r="D2601" t="inlineStr">
        <is>
          <t>ÖREBRO LÄN</t>
        </is>
      </c>
      <c r="E2601" t="inlineStr">
        <is>
          <t>ÖREBRO</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16999-2024</t>
        </is>
      </c>
      <c r="B2602" s="1" t="n">
        <v>45412.35543981481</v>
      </c>
      <c r="C2602" s="1" t="n">
        <v>45952</v>
      </c>
      <c r="D2602" t="inlineStr">
        <is>
          <t>ÖREBRO LÄN</t>
        </is>
      </c>
      <c r="E2602" t="inlineStr">
        <is>
          <t>HÄLLEFORS</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59938-2023</t>
        </is>
      </c>
      <c r="B2603" s="1" t="n">
        <v>45257.67357638889</v>
      </c>
      <c r="C2603" s="1" t="n">
        <v>45952</v>
      </c>
      <c r="D2603" t="inlineStr">
        <is>
          <t>ÖREBRO LÄN</t>
        </is>
      </c>
      <c r="E2603" t="inlineStr">
        <is>
          <t>KARLSKOGA</t>
        </is>
      </c>
      <c r="G2603" t="n">
        <v>2.9</v>
      </c>
      <c r="H2603" t="n">
        <v>0</v>
      </c>
      <c r="I2603" t="n">
        <v>0</v>
      </c>
      <c r="J2603" t="n">
        <v>0</v>
      </c>
      <c r="K2603" t="n">
        <v>0</v>
      </c>
      <c r="L2603" t="n">
        <v>0</v>
      </c>
      <c r="M2603" t="n">
        <v>0</v>
      </c>
      <c r="N2603" t="n">
        <v>0</v>
      </c>
      <c r="O2603" t="n">
        <v>0</v>
      </c>
      <c r="P2603" t="n">
        <v>0</v>
      </c>
      <c r="Q2603" t="n">
        <v>0</v>
      </c>
      <c r="R2603" s="2" t="inlineStr"/>
    </row>
    <row r="2604" ht="15" customHeight="1">
      <c r="A2604" t="inlineStr">
        <is>
          <t>A 23579-2022</t>
        </is>
      </c>
      <c r="B2604" s="1" t="n">
        <v>44721.52627314815</v>
      </c>
      <c r="C2604" s="1" t="n">
        <v>45952</v>
      </c>
      <c r="D2604" t="inlineStr">
        <is>
          <t>ÖREBRO LÄN</t>
        </is>
      </c>
      <c r="E2604" t="inlineStr">
        <is>
          <t>LINDESBERG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15424-2022</t>
        </is>
      </c>
      <c r="B2605" s="1" t="n">
        <v>44659</v>
      </c>
      <c r="C2605" s="1" t="n">
        <v>45952</v>
      </c>
      <c r="D2605" t="inlineStr">
        <is>
          <t>ÖREBRO LÄN</t>
        </is>
      </c>
      <c r="E2605" t="inlineStr">
        <is>
          <t>ÖREBRO</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53054-2022</t>
        </is>
      </c>
      <c r="B2606" s="1" t="n">
        <v>44876.35706018518</v>
      </c>
      <c r="C2606" s="1" t="n">
        <v>45952</v>
      </c>
      <c r="D2606" t="inlineStr">
        <is>
          <t>ÖREBRO LÄN</t>
        </is>
      </c>
      <c r="E2606" t="inlineStr">
        <is>
          <t>LINDESBERG</t>
        </is>
      </c>
      <c r="F2606" t="inlineStr">
        <is>
          <t>Sveaskog</t>
        </is>
      </c>
      <c r="G2606" t="n">
        <v>2.6</v>
      </c>
      <c r="H2606" t="n">
        <v>0</v>
      </c>
      <c r="I2606" t="n">
        <v>0</v>
      </c>
      <c r="J2606" t="n">
        <v>0</v>
      </c>
      <c r="K2606" t="n">
        <v>0</v>
      </c>
      <c r="L2606" t="n">
        <v>0</v>
      </c>
      <c r="M2606" t="n">
        <v>0</v>
      </c>
      <c r="N2606" t="n">
        <v>0</v>
      </c>
      <c r="O2606" t="n">
        <v>0</v>
      </c>
      <c r="P2606" t="n">
        <v>0</v>
      </c>
      <c r="Q2606" t="n">
        <v>0</v>
      </c>
      <c r="R2606" s="2" t="inlineStr"/>
    </row>
    <row r="2607" ht="15" customHeight="1">
      <c r="A2607" t="inlineStr">
        <is>
          <t>A 15682-2023</t>
        </is>
      </c>
      <c r="B2607" s="1" t="n">
        <v>45021</v>
      </c>
      <c r="C2607" s="1" t="n">
        <v>45952</v>
      </c>
      <c r="D2607" t="inlineStr">
        <is>
          <t>ÖREBRO LÄN</t>
        </is>
      </c>
      <c r="E2607" t="inlineStr">
        <is>
          <t>ÖREBRO</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47549-2025</t>
        </is>
      </c>
      <c r="B2608" s="1" t="n">
        <v>45931.36796296296</v>
      </c>
      <c r="C2608" s="1" t="n">
        <v>45952</v>
      </c>
      <c r="D2608" t="inlineStr">
        <is>
          <t>ÖREBRO LÄN</t>
        </is>
      </c>
      <c r="E2608" t="inlineStr">
        <is>
          <t>LJUSNARSBERG</t>
        </is>
      </c>
      <c r="G2608" t="n">
        <v>6.1</v>
      </c>
      <c r="H2608" t="n">
        <v>0</v>
      </c>
      <c r="I2608" t="n">
        <v>0</v>
      </c>
      <c r="J2608" t="n">
        <v>0</v>
      </c>
      <c r="K2608" t="n">
        <v>0</v>
      </c>
      <c r="L2608" t="n">
        <v>0</v>
      </c>
      <c r="M2608" t="n">
        <v>0</v>
      </c>
      <c r="N2608" t="n">
        <v>0</v>
      </c>
      <c r="O2608" t="n">
        <v>0</v>
      </c>
      <c r="P2608" t="n">
        <v>0</v>
      </c>
      <c r="Q2608" t="n">
        <v>0</v>
      </c>
      <c r="R2608" s="2" t="inlineStr"/>
    </row>
    <row r="2609" ht="15" customHeight="1">
      <c r="A2609" t="inlineStr">
        <is>
          <t>A 33290-2021</t>
        </is>
      </c>
      <c r="B2609" s="1" t="n">
        <v>44377.40789351852</v>
      </c>
      <c r="C2609" s="1" t="n">
        <v>45952</v>
      </c>
      <c r="D2609" t="inlineStr">
        <is>
          <t>ÖREBRO LÄN</t>
        </is>
      </c>
      <c r="E2609" t="inlineStr">
        <is>
          <t>HALLSBERG</t>
        </is>
      </c>
      <c r="F2609" t="inlineStr">
        <is>
          <t>Sveaskog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26597-2021</t>
        </is>
      </c>
      <c r="B2610" s="1" t="n">
        <v>44348.6058449074</v>
      </c>
      <c r="C2610" s="1" t="n">
        <v>45952</v>
      </c>
      <c r="D2610" t="inlineStr">
        <is>
          <t>ÖREBRO LÄN</t>
        </is>
      </c>
      <c r="E2610" t="inlineStr">
        <is>
          <t>LJUSNARSBERG</t>
        </is>
      </c>
      <c r="F2610" t="inlineStr">
        <is>
          <t>Bergvik skog väst AB</t>
        </is>
      </c>
      <c r="G2610" t="n">
        <v>3.3</v>
      </c>
      <c r="H2610" t="n">
        <v>0</v>
      </c>
      <c r="I2610" t="n">
        <v>0</v>
      </c>
      <c r="J2610" t="n">
        <v>0</v>
      </c>
      <c r="K2610" t="n">
        <v>0</v>
      </c>
      <c r="L2610" t="n">
        <v>0</v>
      </c>
      <c r="M2610" t="n">
        <v>0</v>
      </c>
      <c r="N2610" t="n">
        <v>0</v>
      </c>
      <c r="O2610" t="n">
        <v>0</v>
      </c>
      <c r="P2610" t="n">
        <v>0</v>
      </c>
      <c r="Q2610" t="n">
        <v>0</v>
      </c>
      <c r="R2610" s="2" t="inlineStr"/>
    </row>
    <row r="2611" ht="15" customHeight="1">
      <c r="A2611" t="inlineStr">
        <is>
          <t>A 15597-2025</t>
        </is>
      </c>
      <c r="B2611" s="1" t="n">
        <v>45747.9108449074</v>
      </c>
      <c r="C2611" s="1" t="n">
        <v>45952</v>
      </c>
      <c r="D2611" t="inlineStr">
        <is>
          <t>ÖREBRO LÄN</t>
        </is>
      </c>
      <c r="E2611" t="inlineStr">
        <is>
          <t>LEKEBERG</t>
        </is>
      </c>
      <c r="G2611" t="n">
        <v>4.2</v>
      </c>
      <c r="H2611" t="n">
        <v>0</v>
      </c>
      <c r="I2611" t="n">
        <v>0</v>
      </c>
      <c r="J2611" t="n">
        <v>0</v>
      </c>
      <c r="K2611" t="n">
        <v>0</v>
      </c>
      <c r="L2611" t="n">
        <v>0</v>
      </c>
      <c r="M2611" t="n">
        <v>0</v>
      </c>
      <c r="N2611" t="n">
        <v>0</v>
      </c>
      <c r="O2611" t="n">
        <v>0</v>
      </c>
      <c r="P2611" t="n">
        <v>0</v>
      </c>
      <c r="Q2611" t="n">
        <v>0</v>
      </c>
      <c r="R2611" s="2" t="inlineStr"/>
    </row>
    <row r="2612" ht="15" customHeight="1">
      <c r="A2612" t="inlineStr">
        <is>
          <t>A 39446-2025</t>
        </is>
      </c>
      <c r="B2612" s="1" t="n">
        <v>45889.70388888889</v>
      </c>
      <c r="C2612" s="1" t="n">
        <v>45952</v>
      </c>
      <c r="D2612" t="inlineStr">
        <is>
          <t>ÖREBRO LÄN</t>
        </is>
      </c>
      <c r="E2612" t="inlineStr">
        <is>
          <t>ÖREBRO</t>
        </is>
      </c>
      <c r="F2612" t="inlineStr">
        <is>
          <t>Kyrkan</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36121-2023</t>
        </is>
      </c>
      <c r="B2613" s="1" t="n">
        <v>45148</v>
      </c>
      <c r="C2613" s="1" t="n">
        <v>45952</v>
      </c>
      <c r="D2613" t="inlineStr">
        <is>
          <t>ÖREBRO LÄN</t>
        </is>
      </c>
      <c r="E2613" t="inlineStr">
        <is>
          <t>LINDESBERG</t>
        </is>
      </c>
      <c r="G2613" t="n">
        <v>7.1</v>
      </c>
      <c r="H2613" t="n">
        <v>0</v>
      </c>
      <c r="I2613" t="n">
        <v>0</v>
      </c>
      <c r="J2613" t="n">
        <v>0</v>
      </c>
      <c r="K2613" t="n">
        <v>0</v>
      </c>
      <c r="L2613" t="n">
        <v>0</v>
      </c>
      <c r="M2613" t="n">
        <v>0</v>
      </c>
      <c r="N2613" t="n">
        <v>0</v>
      </c>
      <c r="O2613" t="n">
        <v>0</v>
      </c>
      <c r="P2613" t="n">
        <v>0</v>
      </c>
      <c r="Q2613" t="n">
        <v>0</v>
      </c>
      <c r="R2613" s="2" t="inlineStr"/>
    </row>
    <row r="2614" ht="15" customHeight="1">
      <c r="A2614" t="inlineStr">
        <is>
          <t>A 22543-2025</t>
        </is>
      </c>
      <c r="B2614" s="1" t="n">
        <v>45788.42467592593</v>
      </c>
      <c r="C2614" s="1" t="n">
        <v>45952</v>
      </c>
      <c r="D2614" t="inlineStr">
        <is>
          <t>ÖREBRO LÄN</t>
        </is>
      </c>
      <c r="E2614" t="inlineStr">
        <is>
          <t>LINDESBERG</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16928-2025</t>
        </is>
      </c>
      <c r="B2615" s="1" t="n">
        <v>45755.39711805555</v>
      </c>
      <c r="C2615" s="1" t="n">
        <v>45952</v>
      </c>
      <c r="D2615" t="inlineStr">
        <is>
          <t>ÖREBRO LÄN</t>
        </is>
      </c>
      <c r="E2615" t="inlineStr">
        <is>
          <t>HÄLLEFORS</t>
        </is>
      </c>
      <c r="F2615" t="inlineStr">
        <is>
          <t>Bergvik skog väst AB</t>
        </is>
      </c>
      <c r="G2615" t="n">
        <v>8.199999999999999</v>
      </c>
      <c r="H2615" t="n">
        <v>0</v>
      </c>
      <c r="I2615" t="n">
        <v>0</v>
      </c>
      <c r="J2615" t="n">
        <v>0</v>
      </c>
      <c r="K2615" t="n">
        <v>0</v>
      </c>
      <c r="L2615" t="n">
        <v>0</v>
      </c>
      <c r="M2615" t="n">
        <v>0</v>
      </c>
      <c r="N2615" t="n">
        <v>0</v>
      </c>
      <c r="O2615" t="n">
        <v>0</v>
      </c>
      <c r="P2615" t="n">
        <v>0</v>
      </c>
      <c r="Q2615" t="n">
        <v>0</v>
      </c>
      <c r="R2615" s="2" t="inlineStr"/>
    </row>
    <row r="2616" ht="15" customHeight="1">
      <c r="A2616" t="inlineStr">
        <is>
          <t>A 51350-2023</t>
        </is>
      </c>
      <c r="B2616" s="1" t="n">
        <v>45213</v>
      </c>
      <c r="C2616" s="1" t="n">
        <v>45952</v>
      </c>
      <c r="D2616" t="inlineStr">
        <is>
          <t>ÖREBRO LÄN</t>
        </is>
      </c>
      <c r="E2616" t="inlineStr">
        <is>
          <t>HALLSBERG</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59036-2021</t>
        </is>
      </c>
      <c r="B2617" s="1" t="n">
        <v>44490</v>
      </c>
      <c r="C2617" s="1" t="n">
        <v>45952</v>
      </c>
      <c r="D2617" t="inlineStr">
        <is>
          <t>ÖREBRO LÄN</t>
        </is>
      </c>
      <c r="E2617" t="inlineStr">
        <is>
          <t>LEKEBERG</t>
        </is>
      </c>
      <c r="F2617" t="inlineStr">
        <is>
          <t>Allmännings- och besparingsskogar</t>
        </is>
      </c>
      <c r="G2617" t="n">
        <v>25.2</v>
      </c>
      <c r="H2617" t="n">
        <v>0</v>
      </c>
      <c r="I2617" t="n">
        <v>0</v>
      </c>
      <c r="J2617" t="n">
        <v>0</v>
      </c>
      <c r="K2617" t="n">
        <v>0</v>
      </c>
      <c r="L2617" t="n">
        <v>0</v>
      </c>
      <c r="M2617" t="n">
        <v>0</v>
      </c>
      <c r="N2617" t="n">
        <v>0</v>
      </c>
      <c r="O2617" t="n">
        <v>0</v>
      </c>
      <c r="P2617" t="n">
        <v>0</v>
      </c>
      <c r="Q2617" t="n">
        <v>0</v>
      </c>
      <c r="R2617" s="2" t="inlineStr"/>
    </row>
    <row r="2618" ht="15" customHeight="1">
      <c r="A2618" t="inlineStr">
        <is>
          <t>A 20467-2023</t>
        </is>
      </c>
      <c r="B2618" s="1" t="n">
        <v>45057</v>
      </c>
      <c r="C2618" s="1" t="n">
        <v>45952</v>
      </c>
      <c r="D2618" t="inlineStr">
        <is>
          <t>ÖREBRO LÄN</t>
        </is>
      </c>
      <c r="E2618" t="inlineStr">
        <is>
          <t>LINDESBERG</t>
        </is>
      </c>
      <c r="G2618" t="n">
        <v>2.1</v>
      </c>
      <c r="H2618" t="n">
        <v>0</v>
      </c>
      <c r="I2618" t="n">
        <v>0</v>
      </c>
      <c r="J2618" t="n">
        <v>0</v>
      </c>
      <c r="K2618" t="n">
        <v>0</v>
      </c>
      <c r="L2618" t="n">
        <v>0</v>
      </c>
      <c r="M2618" t="n">
        <v>0</v>
      </c>
      <c r="N2618" t="n">
        <v>0</v>
      </c>
      <c r="O2618" t="n">
        <v>0</v>
      </c>
      <c r="P2618" t="n">
        <v>0</v>
      </c>
      <c r="Q2618" t="n">
        <v>0</v>
      </c>
      <c r="R2618" s="2" t="inlineStr"/>
    </row>
    <row r="2619" ht="15" customHeight="1">
      <c r="A2619" t="inlineStr">
        <is>
          <t>A 22382-2025</t>
        </is>
      </c>
      <c r="B2619" s="1" t="n">
        <v>45786.49619212963</v>
      </c>
      <c r="C2619" s="1" t="n">
        <v>45952</v>
      </c>
      <c r="D2619" t="inlineStr">
        <is>
          <t>ÖREBRO LÄN</t>
        </is>
      </c>
      <c r="E2619" t="inlineStr">
        <is>
          <t>LAXÅ</t>
        </is>
      </c>
      <c r="F2619" t="inlineStr">
        <is>
          <t>Sveaskog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35140-2023</t>
        </is>
      </c>
      <c r="B2620" s="1" t="n">
        <v>45145</v>
      </c>
      <c r="C2620" s="1" t="n">
        <v>45952</v>
      </c>
      <c r="D2620" t="inlineStr">
        <is>
          <t>ÖREBRO LÄN</t>
        </is>
      </c>
      <c r="E2620" t="inlineStr">
        <is>
          <t>LINDESBERG</t>
        </is>
      </c>
      <c r="F2620" t="inlineStr">
        <is>
          <t>Sveaskog</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60141-2022</t>
        </is>
      </c>
      <c r="B2621" s="1" t="n">
        <v>44909.67884259259</v>
      </c>
      <c r="C2621" s="1" t="n">
        <v>45952</v>
      </c>
      <c r="D2621" t="inlineStr">
        <is>
          <t>ÖREBRO LÄN</t>
        </is>
      </c>
      <c r="E2621" t="inlineStr">
        <is>
          <t>ASKERSUND</t>
        </is>
      </c>
      <c r="G2621" t="n">
        <v>4.7</v>
      </c>
      <c r="H2621" t="n">
        <v>0</v>
      </c>
      <c r="I2621" t="n">
        <v>0</v>
      </c>
      <c r="J2621" t="n">
        <v>0</v>
      </c>
      <c r="K2621" t="n">
        <v>0</v>
      </c>
      <c r="L2621" t="n">
        <v>0</v>
      </c>
      <c r="M2621" t="n">
        <v>0</v>
      </c>
      <c r="N2621" t="n">
        <v>0</v>
      </c>
      <c r="O2621" t="n">
        <v>0</v>
      </c>
      <c r="P2621" t="n">
        <v>0</v>
      </c>
      <c r="Q2621" t="n">
        <v>0</v>
      </c>
      <c r="R2621" s="2" t="inlineStr"/>
    </row>
    <row r="2622" ht="15" customHeight="1">
      <c r="A2622" t="inlineStr">
        <is>
          <t>A 26320-2022</t>
        </is>
      </c>
      <c r="B2622" s="1" t="n">
        <v>44735.60184027778</v>
      </c>
      <c r="C2622" s="1" t="n">
        <v>45952</v>
      </c>
      <c r="D2622" t="inlineStr">
        <is>
          <t>ÖREBRO LÄN</t>
        </is>
      </c>
      <c r="E2622" t="inlineStr">
        <is>
          <t>NORA</t>
        </is>
      </c>
      <c r="F2622" t="inlineStr">
        <is>
          <t>Sveaskog</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29401-2022</t>
        </is>
      </c>
      <c r="B2623" s="1" t="n">
        <v>44753</v>
      </c>
      <c r="C2623" s="1" t="n">
        <v>45952</v>
      </c>
      <c r="D2623" t="inlineStr">
        <is>
          <t>ÖREBRO LÄN</t>
        </is>
      </c>
      <c r="E2623" t="inlineStr">
        <is>
          <t>ASKERSUND</t>
        </is>
      </c>
      <c r="F2623" t="inlineStr">
        <is>
          <t>Övriga Aktiebolag</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16281-2024</t>
        </is>
      </c>
      <c r="B2624" s="1" t="n">
        <v>45407.36091435186</v>
      </c>
      <c r="C2624" s="1" t="n">
        <v>45952</v>
      </c>
      <c r="D2624" t="inlineStr">
        <is>
          <t>ÖREBRO LÄN</t>
        </is>
      </c>
      <c r="E2624" t="inlineStr">
        <is>
          <t>NORA</t>
        </is>
      </c>
      <c r="G2624" t="n">
        <v>5.7</v>
      </c>
      <c r="H2624" t="n">
        <v>0</v>
      </c>
      <c r="I2624" t="n">
        <v>0</v>
      </c>
      <c r="J2624" t="n">
        <v>0</v>
      </c>
      <c r="K2624" t="n">
        <v>0</v>
      </c>
      <c r="L2624" t="n">
        <v>0</v>
      </c>
      <c r="M2624" t="n">
        <v>0</v>
      </c>
      <c r="N2624" t="n">
        <v>0</v>
      </c>
      <c r="O2624" t="n">
        <v>0</v>
      </c>
      <c r="P2624" t="n">
        <v>0</v>
      </c>
      <c r="Q2624" t="n">
        <v>0</v>
      </c>
      <c r="R2624" s="2" t="inlineStr"/>
    </row>
    <row r="2625" ht="15" customHeight="1">
      <c r="A2625" t="inlineStr">
        <is>
          <t>A 2357-2022</t>
        </is>
      </c>
      <c r="B2625" s="1" t="n">
        <v>44578</v>
      </c>
      <c r="C2625" s="1" t="n">
        <v>45952</v>
      </c>
      <c r="D2625" t="inlineStr">
        <is>
          <t>ÖREBRO LÄN</t>
        </is>
      </c>
      <c r="E2625" t="inlineStr">
        <is>
          <t>DEGERFORS</t>
        </is>
      </c>
      <c r="G2625" t="n">
        <v>4.5</v>
      </c>
      <c r="H2625" t="n">
        <v>0</v>
      </c>
      <c r="I2625" t="n">
        <v>0</v>
      </c>
      <c r="J2625" t="n">
        <v>0</v>
      </c>
      <c r="K2625" t="n">
        <v>0</v>
      </c>
      <c r="L2625" t="n">
        <v>0</v>
      </c>
      <c r="M2625" t="n">
        <v>0</v>
      </c>
      <c r="N2625" t="n">
        <v>0</v>
      </c>
      <c r="O2625" t="n">
        <v>0</v>
      </c>
      <c r="P2625" t="n">
        <v>0</v>
      </c>
      <c r="Q2625" t="n">
        <v>0</v>
      </c>
      <c r="R2625" s="2" t="inlineStr"/>
    </row>
    <row r="2626" ht="15" customHeight="1">
      <c r="A2626" t="inlineStr">
        <is>
          <t>A 62454-2021</t>
        </is>
      </c>
      <c r="B2626" s="1" t="n">
        <v>44503.52611111111</v>
      </c>
      <c r="C2626" s="1" t="n">
        <v>45952</v>
      </c>
      <c r="D2626" t="inlineStr">
        <is>
          <t>ÖREBRO LÄN</t>
        </is>
      </c>
      <c r="E2626" t="inlineStr">
        <is>
          <t>LAXÅ</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36280-2023</t>
        </is>
      </c>
      <c r="B2627" s="1" t="n">
        <v>45152.34586805556</v>
      </c>
      <c r="C2627" s="1" t="n">
        <v>45952</v>
      </c>
      <c r="D2627" t="inlineStr">
        <is>
          <t>ÖREBRO LÄN</t>
        </is>
      </c>
      <c r="E2627" t="inlineStr">
        <is>
          <t>LINDESBERG</t>
        </is>
      </c>
      <c r="F2627" t="inlineStr">
        <is>
          <t>Sveaskog</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59955-2024</t>
        </is>
      </c>
      <c r="B2628" s="1" t="n">
        <v>45642.34987268518</v>
      </c>
      <c r="C2628" s="1" t="n">
        <v>45952</v>
      </c>
      <c r="D2628" t="inlineStr">
        <is>
          <t>ÖREBRO LÄN</t>
        </is>
      </c>
      <c r="E2628" t="inlineStr">
        <is>
          <t>HÄLLEFORS</t>
        </is>
      </c>
      <c r="F2628" t="inlineStr">
        <is>
          <t>Bergvik skog väst AB</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44107-2024</t>
        </is>
      </c>
      <c r="B2629" s="1" t="n">
        <v>45572.63357638889</v>
      </c>
      <c r="C2629" s="1" t="n">
        <v>45952</v>
      </c>
      <c r="D2629" t="inlineStr">
        <is>
          <t>ÖREBRO LÄN</t>
        </is>
      </c>
      <c r="E2629" t="inlineStr">
        <is>
          <t>HÄLLEFORS</t>
        </is>
      </c>
      <c r="F2629" t="inlineStr">
        <is>
          <t>Bergvik skog väst AB</t>
        </is>
      </c>
      <c r="G2629" t="n">
        <v>4.9</v>
      </c>
      <c r="H2629" t="n">
        <v>0</v>
      </c>
      <c r="I2629" t="n">
        <v>0</v>
      </c>
      <c r="J2629" t="n">
        <v>0</v>
      </c>
      <c r="K2629" t="n">
        <v>0</v>
      </c>
      <c r="L2629" t="n">
        <v>0</v>
      </c>
      <c r="M2629" t="n">
        <v>0</v>
      </c>
      <c r="N2629" t="n">
        <v>0</v>
      </c>
      <c r="O2629" t="n">
        <v>0</v>
      </c>
      <c r="P2629" t="n">
        <v>0</v>
      </c>
      <c r="Q2629" t="n">
        <v>0</v>
      </c>
      <c r="R2629" s="2" t="inlineStr"/>
    </row>
    <row r="2630" ht="15" customHeight="1">
      <c r="A2630" t="inlineStr">
        <is>
          <t>A 12682-2023</t>
        </is>
      </c>
      <c r="B2630" s="1" t="n">
        <v>45000.6115625</v>
      </c>
      <c r="C2630" s="1" t="n">
        <v>45952</v>
      </c>
      <c r="D2630" t="inlineStr">
        <is>
          <t>ÖREBRO LÄN</t>
        </is>
      </c>
      <c r="E2630" t="inlineStr">
        <is>
          <t>ÖREBRO</t>
        </is>
      </c>
      <c r="F2630" t="inlineStr">
        <is>
          <t>Övriga Aktiebolag</t>
        </is>
      </c>
      <c r="G2630" t="n">
        <v>4.4</v>
      </c>
      <c r="H2630" t="n">
        <v>0</v>
      </c>
      <c r="I2630" t="n">
        <v>0</v>
      </c>
      <c r="J2630" t="n">
        <v>0</v>
      </c>
      <c r="K2630" t="n">
        <v>0</v>
      </c>
      <c r="L2630" t="n">
        <v>0</v>
      </c>
      <c r="M2630" t="n">
        <v>0</v>
      </c>
      <c r="N2630" t="n">
        <v>0</v>
      </c>
      <c r="O2630" t="n">
        <v>0</v>
      </c>
      <c r="P2630" t="n">
        <v>0</v>
      </c>
      <c r="Q2630" t="n">
        <v>0</v>
      </c>
      <c r="R2630" s="2" t="inlineStr"/>
    </row>
    <row r="2631" ht="15" customHeight="1">
      <c r="A2631" t="inlineStr">
        <is>
          <t>A 57247-2022</t>
        </is>
      </c>
      <c r="B2631" s="1" t="n">
        <v>44895.73065972222</v>
      </c>
      <c r="C2631" s="1" t="n">
        <v>45952</v>
      </c>
      <c r="D2631" t="inlineStr">
        <is>
          <t>ÖREBRO LÄN</t>
        </is>
      </c>
      <c r="E2631" t="inlineStr">
        <is>
          <t>ÖREBRO</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18605-2025</t>
        </is>
      </c>
      <c r="B2632" s="1" t="n">
        <v>45763.49344907407</v>
      </c>
      <c r="C2632" s="1" t="n">
        <v>45952</v>
      </c>
      <c r="D2632" t="inlineStr">
        <is>
          <t>ÖREBRO LÄN</t>
        </is>
      </c>
      <c r="E2632" t="inlineStr">
        <is>
          <t>HÄLLEFORS</t>
        </is>
      </c>
      <c r="F2632" t="inlineStr">
        <is>
          <t>Bergvik skog väst AB</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61057-2023</t>
        </is>
      </c>
      <c r="B2633" s="1" t="n">
        <v>45261.61064814815</v>
      </c>
      <c r="C2633" s="1" t="n">
        <v>45952</v>
      </c>
      <c r="D2633" t="inlineStr">
        <is>
          <t>ÖREBRO LÄN</t>
        </is>
      </c>
      <c r="E2633" t="inlineStr">
        <is>
          <t>HALLSBERG</t>
        </is>
      </c>
      <c r="F2633" t="inlineStr">
        <is>
          <t>Sveaskog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61058-2023</t>
        </is>
      </c>
      <c r="B2634" s="1" t="n">
        <v>45261.61119212963</v>
      </c>
      <c r="C2634" s="1" t="n">
        <v>45952</v>
      </c>
      <c r="D2634" t="inlineStr">
        <is>
          <t>ÖREBRO LÄN</t>
        </is>
      </c>
      <c r="E2634" t="inlineStr">
        <is>
          <t>HALLSBERG</t>
        </is>
      </c>
      <c r="F2634" t="inlineStr">
        <is>
          <t>Sveaskog</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1574-2025</t>
        </is>
      </c>
      <c r="B2635" s="1" t="n">
        <v>45670.55908564815</v>
      </c>
      <c r="C2635" s="1" t="n">
        <v>45952</v>
      </c>
      <c r="D2635" t="inlineStr">
        <is>
          <t>ÖREBRO LÄN</t>
        </is>
      </c>
      <c r="E2635" t="inlineStr">
        <is>
          <t>LEKEBERG</t>
        </is>
      </c>
      <c r="F2635" t="inlineStr">
        <is>
          <t>Allmännings- och besparingsskogar</t>
        </is>
      </c>
      <c r="G2635" t="n">
        <v>9.699999999999999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25838-2024</t>
        </is>
      </c>
      <c r="B2636" s="1" t="n">
        <v>45467.42864583333</v>
      </c>
      <c r="C2636" s="1" t="n">
        <v>45952</v>
      </c>
      <c r="D2636" t="inlineStr">
        <is>
          <t>ÖREBRO LÄN</t>
        </is>
      </c>
      <c r="E2636" t="inlineStr">
        <is>
          <t>LAXÅ</t>
        </is>
      </c>
      <c r="F2636" t="inlineStr">
        <is>
          <t>Sveaskog</t>
        </is>
      </c>
      <c r="G2636" t="n">
        <v>8.5</v>
      </c>
      <c r="H2636" t="n">
        <v>0</v>
      </c>
      <c r="I2636" t="n">
        <v>0</v>
      </c>
      <c r="J2636" t="n">
        <v>0</v>
      </c>
      <c r="K2636" t="n">
        <v>0</v>
      </c>
      <c r="L2636" t="n">
        <v>0</v>
      </c>
      <c r="M2636" t="n">
        <v>0</v>
      </c>
      <c r="N2636" t="n">
        <v>0</v>
      </c>
      <c r="O2636" t="n">
        <v>0</v>
      </c>
      <c r="P2636" t="n">
        <v>0</v>
      </c>
      <c r="Q2636" t="n">
        <v>0</v>
      </c>
      <c r="R2636" s="2" t="inlineStr"/>
    </row>
    <row r="2637" ht="15" customHeight="1">
      <c r="A2637" t="inlineStr">
        <is>
          <t>A 36686-2024</t>
        </is>
      </c>
      <c r="B2637" s="1" t="n">
        <v>45537.665</v>
      </c>
      <c r="C2637" s="1" t="n">
        <v>45952</v>
      </c>
      <c r="D2637" t="inlineStr">
        <is>
          <t>ÖREBRO LÄN</t>
        </is>
      </c>
      <c r="E2637" t="inlineStr">
        <is>
          <t>LINDESBERG</t>
        </is>
      </c>
      <c r="F2637" t="inlineStr">
        <is>
          <t>Sveaskog</t>
        </is>
      </c>
      <c r="G2637" t="n">
        <v>3.9</v>
      </c>
      <c r="H2637" t="n">
        <v>0</v>
      </c>
      <c r="I2637" t="n">
        <v>0</v>
      </c>
      <c r="J2637" t="n">
        <v>0</v>
      </c>
      <c r="K2637" t="n">
        <v>0</v>
      </c>
      <c r="L2637" t="n">
        <v>0</v>
      </c>
      <c r="M2637" t="n">
        <v>0</v>
      </c>
      <c r="N2637" t="n">
        <v>0</v>
      </c>
      <c r="O2637" t="n">
        <v>0</v>
      </c>
      <c r="P2637" t="n">
        <v>0</v>
      </c>
      <c r="Q2637" t="n">
        <v>0</v>
      </c>
      <c r="R2637" s="2" t="inlineStr"/>
    </row>
    <row r="2638" ht="15" customHeight="1">
      <c r="A2638" t="inlineStr">
        <is>
          <t>A 52379-2023</t>
        </is>
      </c>
      <c r="B2638" s="1" t="n">
        <v>45224</v>
      </c>
      <c r="C2638" s="1" t="n">
        <v>45952</v>
      </c>
      <c r="D2638" t="inlineStr">
        <is>
          <t>ÖREBRO LÄN</t>
        </is>
      </c>
      <c r="E2638" t="inlineStr">
        <is>
          <t>NORA</t>
        </is>
      </c>
      <c r="G2638" t="n">
        <v>0.9</v>
      </c>
      <c r="H2638" t="n">
        <v>0</v>
      </c>
      <c r="I2638" t="n">
        <v>0</v>
      </c>
      <c r="J2638" t="n">
        <v>0</v>
      </c>
      <c r="K2638" t="n">
        <v>0</v>
      </c>
      <c r="L2638" t="n">
        <v>0</v>
      </c>
      <c r="M2638" t="n">
        <v>0</v>
      </c>
      <c r="N2638" t="n">
        <v>0</v>
      </c>
      <c r="O2638" t="n">
        <v>0</v>
      </c>
      <c r="P2638" t="n">
        <v>0</v>
      </c>
      <c r="Q2638" t="n">
        <v>0</v>
      </c>
      <c r="R2638" s="2" t="inlineStr"/>
    </row>
    <row r="2639" ht="15" customHeight="1">
      <c r="A2639" t="inlineStr">
        <is>
          <t>A 44076-2024</t>
        </is>
      </c>
      <c r="B2639" s="1" t="n">
        <v>45572.61414351852</v>
      </c>
      <c r="C2639" s="1" t="n">
        <v>45952</v>
      </c>
      <c r="D2639" t="inlineStr">
        <is>
          <t>ÖREBRO LÄN</t>
        </is>
      </c>
      <c r="E2639" t="inlineStr">
        <is>
          <t>LAXÅ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52828-2024</t>
        </is>
      </c>
      <c r="B2640" s="1" t="n">
        <v>45610.59295138889</v>
      </c>
      <c r="C2640" s="1" t="n">
        <v>45952</v>
      </c>
      <c r="D2640" t="inlineStr">
        <is>
          <t>ÖREBRO LÄN</t>
        </is>
      </c>
      <c r="E2640" t="inlineStr">
        <is>
          <t>KARLSKOGA</t>
        </is>
      </c>
      <c r="G2640" t="n">
        <v>8.300000000000001</v>
      </c>
      <c r="H2640" t="n">
        <v>0</v>
      </c>
      <c r="I2640" t="n">
        <v>0</v>
      </c>
      <c r="J2640" t="n">
        <v>0</v>
      </c>
      <c r="K2640" t="n">
        <v>0</v>
      </c>
      <c r="L2640" t="n">
        <v>0</v>
      </c>
      <c r="M2640" t="n">
        <v>0</v>
      </c>
      <c r="N2640" t="n">
        <v>0</v>
      </c>
      <c r="O2640" t="n">
        <v>0</v>
      </c>
      <c r="P2640" t="n">
        <v>0</v>
      </c>
      <c r="Q2640" t="n">
        <v>0</v>
      </c>
      <c r="R2640" s="2" t="inlineStr"/>
    </row>
    <row r="2641" ht="15" customHeight="1">
      <c r="A2641" t="inlineStr">
        <is>
          <t>A 46323-2024</t>
        </is>
      </c>
      <c r="B2641" s="1" t="n">
        <v>45581.84538194445</v>
      </c>
      <c r="C2641" s="1" t="n">
        <v>45952</v>
      </c>
      <c r="D2641" t="inlineStr">
        <is>
          <t>ÖREBRO LÄN</t>
        </is>
      </c>
      <c r="E2641" t="inlineStr">
        <is>
          <t>ÖREBRO</t>
        </is>
      </c>
      <c r="F2641" t="inlineStr">
        <is>
          <t>Övriga Aktiebolag</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3659-2025</t>
        </is>
      </c>
      <c r="B2642" s="1" t="n">
        <v>45681</v>
      </c>
      <c r="C2642" s="1" t="n">
        <v>45952</v>
      </c>
      <c r="D2642" t="inlineStr">
        <is>
          <t>ÖREBRO LÄN</t>
        </is>
      </c>
      <c r="E2642" t="inlineStr">
        <is>
          <t>ÖREBRO</t>
        </is>
      </c>
      <c r="G2642" t="n">
        <v>15.8</v>
      </c>
      <c r="H2642" t="n">
        <v>0</v>
      </c>
      <c r="I2642" t="n">
        <v>0</v>
      </c>
      <c r="J2642" t="n">
        <v>0</v>
      </c>
      <c r="K2642" t="n">
        <v>0</v>
      </c>
      <c r="L2642" t="n">
        <v>0</v>
      </c>
      <c r="M2642" t="n">
        <v>0</v>
      </c>
      <c r="N2642" t="n">
        <v>0</v>
      </c>
      <c r="O2642" t="n">
        <v>0</v>
      </c>
      <c r="P2642" t="n">
        <v>0</v>
      </c>
      <c r="Q2642" t="n">
        <v>0</v>
      </c>
      <c r="R2642" s="2" t="inlineStr"/>
    </row>
    <row r="2643" ht="15" customHeight="1">
      <c r="A2643" t="inlineStr">
        <is>
          <t>A 39327-2022</t>
        </is>
      </c>
      <c r="B2643" s="1" t="n">
        <v>44817</v>
      </c>
      <c r="C2643" s="1" t="n">
        <v>45952</v>
      </c>
      <c r="D2643" t="inlineStr">
        <is>
          <t>ÖREBRO LÄN</t>
        </is>
      </c>
      <c r="E2643" t="inlineStr">
        <is>
          <t>HÄLLEFORS</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13347-2023</t>
        </is>
      </c>
      <c r="B2644" s="1" t="n">
        <v>45004</v>
      </c>
      <c r="C2644" s="1" t="n">
        <v>45952</v>
      </c>
      <c r="D2644" t="inlineStr">
        <is>
          <t>ÖREBRO LÄN</t>
        </is>
      </c>
      <c r="E2644" t="inlineStr">
        <is>
          <t>ÖREBRO</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9516-2025</t>
        </is>
      </c>
      <c r="B2645" s="1" t="n">
        <v>45714</v>
      </c>
      <c r="C2645" s="1" t="n">
        <v>45952</v>
      </c>
      <c r="D2645" t="inlineStr">
        <is>
          <t>ÖREBRO LÄN</t>
        </is>
      </c>
      <c r="E2645" t="inlineStr">
        <is>
          <t>ASKERSUND</t>
        </is>
      </c>
      <c r="F2645" t="inlineStr">
        <is>
          <t>Övriga Aktiebolag</t>
        </is>
      </c>
      <c r="G2645" t="n">
        <v>6.7</v>
      </c>
      <c r="H2645" t="n">
        <v>0</v>
      </c>
      <c r="I2645" t="n">
        <v>0</v>
      </c>
      <c r="J2645" t="n">
        <v>0</v>
      </c>
      <c r="K2645" t="n">
        <v>0</v>
      </c>
      <c r="L2645" t="n">
        <v>0</v>
      </c>
      <c r="M2645" t="n">
        <v>0</v>
      </c>
      <c r="N2645" t="n">
        <v>0</v>
      </c>
      <c r="O2645" t="n">
        <v>0</v>
      </c>
      <c r="P2645" t="n">
        <v>0</v>
      </c>
      <c r="Q2645" t="n">
        <v>0</v>
      </c>
      <c r="R2645" s="2" t="inlineStr"/>
    </row>
    <row r="2646" ht="15" customHeight="1">
      <c r="A2646" t="inlineStr">
        <is>
          <t>A 6752-2022</t>
        </is>
      </c>
      <c r="B2646" s="1" t="n">
        <v>44602.48082175926</v>
      </c>
      <c r="C2646" s="1" t="n">
        <v>45952</v>
      </c>
      <c r="D2646" t="inlineStr">
        <is>
          <t>ÖREBRO LÄN</t>
        </is>
      </c>
      <c r="E2646" t="inlineStr">
        <is>
          <t>ÖREBRO</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38288-2023</t>
        </is>
      </c>
      <c r="B2647" s="1" t="n">
        <v>45161.63891203704</v>
      </c>
      <c r="C2647" s="1" t="n">
        <v>45952</v>
      </c>
      <c r="D2647" t="inlineStr">
        <is>
          <t>ÖREBRO LÄN</t>
        </is>
      </c>
      <c r="E2647" t="inlineStr">
        <is>
          <t>LAXÅ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38762-2021</t>
        </is>
      </c>
      <c r="B2648" s="1" t="n">
        <v>44410.61837962963</v>
      </c>
      <c r="C2648" s="1" t="n">
        <v>45952</v>
      </c>
      <c r="D2648" t="inlineStr">
        <is>
          <t>ÖREBRO LÄN</t>
        </is>
      </c>
      <c r="E2648" t="inlineStr">
        <is>
          <t>LINDESBERG</t>
        </is>
      </c>
      <c r="F2648" t="inlineStr">
        <is>
          <t>Sveaskog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28776-2023</t>
        </is>
      </c>
      <c r="B2649" s="1" t="n">
        <v>45104.34107638889</v>
      </c>
      <c r="C2649" s="1" t="n">
        <v>45952</v>
      </c>
      <c r="D2649" t="inlineStr">
        <is>
          <t>ÖREBRO LÄN</t>
        </is>
      </c>
      <c r="E2649" t="inlineStr">
        <is>
          <t>LINDESBERG</t>
        </is>
      </c>
      <c r="F2649" t="inlineStr">
        <is>
          <t>Sveaskog</t>
        </is>
      </c>
      <c r="G2649" t="n">
        <v>4.1</v>
      </c>
      <c r="H2649" t="n">
        <v>0</v>
      </c>
      <c r="I2649" t="n">
        <v>0</v>
      </c>
      <c r="J2649" t="n">
        <v>0</v>
      </c>
      <c r="K2649" t="n">
        <v>0</v>
      </c>
      <c r="L2649" t="n">
        <v>0</v>
      </c>
      <c r="M2649" t="n">
        <v>0</v>
      </c>
      <c r="N2649" t="n">
        <v>0</v>
      </c>
      <c r="O2649" t="n">
        <v>0</v>
      </c>
      <c r="P2649" t="n">
        <v>0</v>
      </c>
      <c r="Q2649" t="n">
        <v>0</v>
      </c>
      <c r="R2649" s="2" t="inlineStr"/>
    </row>
    <row r="2650" ht="15" customHeight="1">
      <c r="A2650" t="inlineStr">
        <is>
          <t>A 35860-2024</t>
        </is>
      </c>
      <c r="B2650" s="1" t="n">
        <v>45533</v>
      </c>
      <c r="C2650" s="1" t="n">
        <v>45952</v>
      </c>
      <c r="D2650" t="inlineStr">
        <is>
          <t>ÖREBRO LÄN</t>
        </is>
      </c>
      <c r="E2650" t="inlineStr">
        <is>
          <t>HÄLLEFORS</t>
        </is>
      </c>
      <c r="F2650" t="inlineStr">
        <is>
          <t>Bergvik skog väst AB</t>
        </is>
      </c>
      <c r="G2650" t="n">
        <v>4.1</v>
      </c>
      <c r="H2650" t="n">
        <v>0</v>
      </c>
      <c r="I2650" t="n">
        <v>0</v>
      </c>
      <c r="J2650" t="n">
        <v>0</v>
      </c>
      <c r="K2650" t="n">
        <v>0</v>
      </c>
      <c r="L2650" t="n">
        <v>0</v>
      </c>
      <c r="M2650" t="n">
        <v>0</v>
      </c>
      <c r="N2650" t="n">
        <v>0</v>
      </c>
      <c r="O2650" t="n">
        <v>0</v>
      </c>
      <c r="P2650" t="n">
        <v>0</v>
      </c>
      <c r="Q2650" t="n">
        <v>0</v>
      </c>
      <c r="R2650" s="2" t="inlineStr"/>
    </row>
    <row r="2651" ht="15" customHeight="1">
      <c r="A2651" t="inlineStr">
        <is>
          <t>A 20515-2025</t>
        </is>
      </c>
      <c r="B2651" s="1" t="n">
        <v>45775</v>
      </c>
      <c r="C2651" s="1" t="n">
        <v>45952</v>
      </c>
      <c r="D2651" t="inlineStr">
        <is>
          <t>ÖREBRO LÄN</t>
        </is>
      </c>
      <c r="E2651" t="inlineStr">
        <is>
          <t>ASKERSUND</t>
        </is>
      </c>
      <c r="G2651" t="n">
        <v>7.7</v>
      </c>
      <c r="H2651" t="n">
        <v>0</v>
      </c>
      <c r="I2651" t="n">
        <v>0</v>
      </c>
      <c r="J2651" t="n">
        <v>0</v>
      </c>
      <c r="K2651" t="n">
        <v>0</v>
      </c>
      <c r="L2651" t="n">
        <v>0</v>
      </c>
      <c r="M2651" t="n">
        <v>0</v>
      </c>
      <c r="N2651" t="n">
        <v>0</v>
      </c>
      <c r="O2651" t="n">
        <v>0</v>
      </c>
      <c r="P2651" t="n">
        <v>0</v>
      </c>
      <c r="Q2651" t="n">
        <v>0</v>
      </c>
      <c r="R2651" s="2" t="inlineStr"/>
    </row>
    <row r="2652" ht="15" customHeight="1">
      <c r="A2652" t="inlineStr">
        <is>
          <t>A 58644-2023</t>
        </is>
      </c>
      <c r="B2652" s="1" t="n">
        <v>45251.58716435185</v>
      </c>
      <c r="C2652" s="1" t="n">
        <v>45952</v>
      </c>
      <c r="D2652" t="inlineStr">
        <is>
          <t>ÖREBRO LÄN</t>
        </is>
      </c>
      <c r="E2652" t="inlineStr">
        <is>
          <t>ÖREBRO</t>
        </is>
      </c>
      <c r="F2652" t="inlineStr">
        <is>
          <t>Övriga Aktiebolag</t>
        </is>
      </c>
      <c r="G2652" t="n">
        <v>1.9</v>
      </c>
      <c r="H2652" t="n">
        <v>0</v>
      </c>
      <c r="I2652" t="n">
        <v>0</v>
      </c>
      <c r="J2652" t="n">
        <v>0</v>
      </c>
      <c r="K2652" t="n">
        <v>0</v>
      </c>
      <c r="L2652" t="n">
        <v>0</v>
      </c>
      <c r="M2652" t="n">
        <v>0</v>
      </c>
      <c r="N2652" t="n">
        <v>0</v>
      </c>
      <c r="O2652" t="n">
        <v>0</v>
      </c>
      <c r="P2652" t="n">
        <v>0</v>
      </c>
      <c r="Q2652" t="n">
        <v>0</v>
      </c>
      <c r="R2652" s="2" t="inlineStr"/>
    </row>
    <row r="2653" ht="15" customHeight="1">
      <c r="A2653" t="inlineStr">
        <is>
          <t>A 48390-2025</t>
        </is>
      </c>
      <c r="B2653" s="1" t="n">
        <v>45933.89425925926</v>
      </c>
      <c r="C2653" s="1" t="n">
        <v>45952</v>
      </c>
      <c r="D2653" t="inlineStr">
        <is>
          <t>ÖREBRO LÄN</t>
        </is>
      </c>
      <c r="E2653" t="inlineStr">
        <is>
          <t>ASKERSUND</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48391-2025</t>
        </is>
      </c>
      <c r="B2654" s="1" t="n">
        <v>45933.89484953704</v>
      </c>
      <c r="C2654" s="1" t="n">
        <v>45952</v>
      </c>
      <c r="D2654" t="inlineStr">
        <is>
          <t>ÖREBRO LÄN</t>
        </is>
      </c>
      <c r="E2654" t="inlineStr">
        <is>
          <t>ASKERSUND</t>
        </is>
      </c>
      <c r="F2654" t="inlineStr">
        <is>
          <t>Sveaskog</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47852-2025</t>
        </is>
      </c>
      <c r="B2655" s="1" t="n">
        <v>45932.38914351852</v>
      </c>
      <c r="C2655" s="1" t="n">
        <v>45952</v>
      </c>
      <c r="D2655" t="inlineStr">
        <is>
          <t>ÖREBRO LÄN</t>
        </is>
      </c>
      <c r="E2655" t="inlineStr">
        <is>
          <t>HÄLLEFORS</t>
        </is>
      </c>
      <c r="F2655" t="inlineStr">
        <is>
          <t>Bergvik skog väst AB</t>
        </is>
      </c>
      <c r="G2655" t="n">
        <v>12.9</v>
      </c>
      <c r="H2655" t="n">
        <v>0</v>
      </c>
      <c r="I2655" t="n">
        <v>0</v>
      </c>
      <c r="J2655" t="n">
        <v>0</v>
      </c>
      <c r="K2655" t="n">
        <v>0</v>
      </c>
      <c r="L2655" t="n">
        <v>0</v>
      </c>
      <c r="M2655" t="n">
        <v>0</v>
      </c>
      <c r="N2655" t="n">
        <v>0</v>
      </c>
      <c r="O2655" t="n">
        <v>0</v>
      </c>
      <c r="P2655" t="n">
        <v>0</v>
      </c>
      <c r="Q2655" t="n">
        <v>0</v>
      </c>
      <c r="R2655" s="2" t="inlineStr"/>
    </row>
    <row r="2656" ht="15" customHeight="1">
      <c r="A2656" t="inlineStr">
        <is>
          <t>A 44449-2023</t>
        </is>
      </c>
      <c r="B2656" s="1" t="n">
        <v>45189.38135416667</v>
      </c>
      <c r="C2656" s="1" t="n">
        <v>45952</v>
      </c>
      <c r="D2656" t="inlineStr">
        <is>
          <t>ÖREBRO LÄN</t>
        </is>
      </c>
      <c r="E2656" t="inlineStr">
        <is>
          <t>LINDESBERG</t>
        </is>
      </c>
      <c r="G2656" t="n">
        <v>13.7</v>
      </c>
      <c r="H2656" t="n">
        <v>0</v>
      </c>
      <c r="I2656" t="n">
        <v>0</v>
      </c>
      <c r="J2656" t="n">
        <v>0</v>
      </c>
      <c r="K2656" t="n">
        <v>0</v>
      </c>
      <c r="L2656" t="n">
        <v>0</v>
      </c>
      <c r="M2656" t="n">
        <v>0</v>
      </c>
      <c r="N2656" t="n">
        <v>0</v>
      </c>
      <c r="O2656" t="n">
        <v>0</v>
      </c>
      <c r="P2656" t="n">
        <v>0</v>
      </c>
      <c r="Q2656" t="n">
        <v>0</v>
      </c>
      <c r="R2656" s="2" t="inlineStr"/>
    </row>
    <row r="2657" ht="15" customHeight="1">
      <c r="A2657" t="inlineStr">
        <is>
          <t>A 13004-2024</t>
        </is>
      </c>
      <c r="B2657" s="1" t="n">
        <v>45385.56987268518</v>
      </c>
      <c r="C2657" s="1" t="n">
        <v>45952</v>
      </c>
      <c r="D2657" t="inlineStr">
        <is>
          <t>ÖREBRO LÄN</t>
        </is>
      </c>
      <c r="E2657" t="inlineStr">
        <is>
          <t>LAXÅ</t>
        </is>
      </c>
      <c r="F2657" t="inlineStr">
        <is>
          <t>Sveaskog</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13021-2024</t>
        </is>
      </c>
      <c r="B2658" s="1" t="n">
        <v>45385.58356481481</v>
      </c>
      <c r="C2658" s="1" t="n">
        <v>45952</v>
      </c>
      <c r="D2658" t="inlineStr">
        <is>
          <t>ÖREBRO LÄN</t>
        </is>
      </c>
      <c r="E2658" t="inlineStr">
        <is>
          <t>LAXÅ</t>
        </is>
      </c>
      <c r="F2658" t="inlineStr">
        <is>
          <t>Sveaskog</t>
        </is>
      </c>
      <c r="G2658" t="n">
        <v>4</v>
      </c>
      <c r="H2658" t="n">
        <v>0</v>
      </c>
      <c r="I2658" t="n">
        <v>0</v>
      </c>
      <c r="J2658" t="n">
        <v>0</v>
      </c>
      <c r="K2658" t="n">
        <v>0</v>
      </c>
      <c r="L2658" t="n">
        <v>0</v>
      </c>
      <c r="M2658" t="n">
        <v>0</v>
      </c>
      <c r="N2658" t="n">
        <v>0</v>
      </c>
      <c r="O2658" t="n">
        <v>0</v>
      </c>
      <c r="P2658" t="n">
        <v>0</v>
      </c>
      <c r="Q2658" t="n">
        <v>0</v>
      </c>
      <c r="R2658" s="2" t="inlineStr"/>
    </row>
    <row r="2659" ht="15" customHeight="1">
      <c r="A2659" t="inlineStr">
        <is>
          <t>A 25175-2024</t>
        </is>
      </c>
      <c r="B2659" s="1" t="n">
        <v>45462.545625</v>
      </c>
      <c r="C2659" s="1" t="n">
        <v>45952</v>
      </c>
      <c r="D2659" t="inlineStr">
        <is>
          <t>ÖREBRO LÄN</t>
        </is>
      </c>
      <c r="E2659" t="inlineStr">
        <is>
          <t>DEGERFORS</t>
        </is>
      </c>
      <c r="F2659" t="inlineStr">
        <is>
          <t>Sveaskog</t>
        </is>
      </c>
      <c r="G2659" t="n">
        <v>9</v>
      </c>
      <c r="H2659" t="n">
        <v>0</v>
      </c>
      <c r="I2659" t="n">
        <v>0</v>
      </c>
      <c r="J2659" t="n">
        <v>0</v>
      </c>
      <c r="K2659" t="n">
        <v>0</v>
      </c>
      <c r="L2659" t="n">
        <v>0</v>
      </c>
      <c r="M2659" t="n">
        <v>0</v>
      </c>
      <c r="N2659" t="n">
        <v>0</v>
      </c>
      <c r="O2659" t="n">
        <v>0</v>
      </c>
      <c r="P2659" t="n">
        <v>0</v>
      </c>
      <c r="Q2659" t="n">
        <v>0</v>
      </c>
      <c r="R2659" s="2" t="inlineStr"/>
    </row>
    <row r="2660" ht="15" customHeight="1">
      <c r="A2660" t="inlineStr">
        <is>
          <t>A 53344-2024</t>
        </is>
      </c>
      <c r="B2660" s="1" t="n">
        <v>45614.44175925926</v>
      </c>
      <c r="C2660" s="1" t="n">
        <v>45952</v>
      </c>
      <c r="D2660" t="inlineStr">
        <is>
          <t>ÖREBRO LÄN</t>
        </is>
      </c>
      <c r="E2660" t="inlineStr">
        <is>
          <t>HÄLLEFORS</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22719-2025</t>
        </is>
      </c>
      <c r="B2661" s="1" t="n">
        <v>45789</v>
      </c>
      <c r="C2661" s="1" t="n">
        <v>45952</v>
      </c>
      <c r="D2661" t="inlineStr">
        <is>
          <t>ÖREBRO LÄN</t>
        </is>
      </c>
      <c r="E2661" t="inlineStr">
        <is>
          <t>ÖREBRO</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39690-2025</t>
        </is>
      </c>
      <c r="B2662" s="1" t="n">
        <v>45890.67743055556</v>
      </c>
      <c r="C2662" s="1" t="n">
        <v>45952</v>
      </c>
      <c r="D2662" t="inlineStr">
        <is>
          <t>ÖREBRO LÄN</t>
        </is>
      </c>
      <c r="E2662" t="inlineStr">
        <is>
          <t>ASKERSUND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54873-2024</t>
        </is>
      </c>
      <c r="B2663" s="1" t="n">
        <v>45618.601875</v>
      </c>
      <c r="C2663" s="1" t="n">
        <v>45952</v>
      </c>
      <c r="D2663" t="inlineStr">
        <is>
          <t>ÖREBRO LÄN</t>
        </is>
      </c>
      <c r="E2663" t="inlineStr">
        <is>
          <t>LAXÅ</t>
        </is>
      </c>
      <c r="F2663" t="inlineStr">
        <is>
          <t>Sveaskog</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39419-2023</t>
        </is>
      </c>
      <c r="B2664" s="1" t="n">
        <v>45166.68493055556</v>
      </c>
      <c r="C2664" s="1" t="n">
        <v>45952</v>
      </c>
      <c r="D2664" t="inlineStr">
        <is>
          <t>ÖREBRO LÄN</t>
        </is>
      </c>
      <c r="E2664" t="inlineStr">
        <is>
          <t>LINDESBERG</t>
        </is>
      </c>
      <c r="F2664" t="inlineStr">
        <is>
          <t>Sveaskog</t>
        </is>
      </c>
      <c r="G2664" t="n">
        <v>0.4</v>
      </c>
      <c r="H2664" t="n">
        <v>0</v>
      </c>
      <c r="I2664" t="n">
        <v>0</v>
      </c>
      <c r="J2664" t="n">
        <v>0</v>
      </c>
      <c r="K2664" t="n">
        <v>0</v>
      </c>
      <c r="L2664" t="n">
        <v>0</v>
      </c>
      <c r="M2664" t="n">
        <v>0</v>
      </c>
      <c r="N2664" t="n">
        <v>0</v>
      </c>
      <c r="O2664" t="n">
        <v>0</v>
      </c>
      <c r="P2664" t="n">
        <v>0</v>
      </c>
      <c r="Q2664" t="n">
        <v>0</v>
      </c>
      <c r="R2664" s="2" t="inlineStr"/>
    </row>
    <row r="2665" ht="15" customHeight="1">
      <c r="A2665" t="inlineStr">
        <is>
          <t>A 50102-2023</t>
        </is>
      </c>
      <c r="B2665" s="1" t="n">
        <v>45215</v>
      </c>
      <c r="C2665" s="1" t="n">
        <v>45952</v>
      </c>
      <c r="D2665" t="inlineStr">
        <is>
          <t>ÖREBRO LÄN</t>
        </is>
      </c>
      <c r="E2665" t="inlineStr">
        <is>
          <t>DEGERFORS</t>
        </is>
      </c>
      <c r="F2665" t="inlineStr">
        <is>
          <t>Sveaskog</t>
        </is>
      </c>
      <c r="G2665" t="n">
        <v>3.9</v>
      </c>
      <c r="H2665" t="n">
        <v>0</v>
      </c>
      <c r="I2665" t="n">
        <v>0</v>
      </c>
      <c r="J2665" t="n">
        <v>0</v>
      </c>
      <c r="K2665" t="n">
        <v>0</v>
      </c>
      <c r="L2665" t="n">
        <v>0</v>
      </c>
      <c r="M2665" t="n">
        <v>0</v>
      </c>
      <c r="N2665" t="n">
        <v>0</v>
      </c>
      <c r="O2665" t="n">
        <v>0</v>
      </c>
      <c r="P2665" t="n">
        <v>0</v>
      </c>
      <c r="Q2665" t="n">
        <v>0</v>
      </c>
      <c r="R2665" s="2" t="inlineStr"/>
    </row>
    <row r="2666" ht="15" customHeight="1">
      <c r="A2666" t="inlineStr">
        <is>
          <t>A 62160-2024</t>
        </is>
      </c>
      <c r="B2666" s="1" t="n">
        <v>45656.80090277778</v>
      </c>
      <c r="C2666" s="1" t="n">
        <v>45952</v>
      </c>
      <c r="D2666" t="inlineStr">
        <is>
          <t>ÖREBRO LÄN</t>
        </is>
      </c>
      <c r="E2666" t="inlineStr">
        <is>
          <t>LEKEBERG</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17352-2024</t>
        </is>
      </c>
      <c r="B2667" s="1" t="n">
        <v>45414.5908912037</v>
      </c>
      <c r="C2667" s="1" t="n">
        <v>45952</v>
      </c>
      <c r="D2667" t="inlineStr">
        <is>
          <t>ÖREBRO LÄN</t>
        </is>
      </c>
      <c r="E2667" t="inlineStr">
        <is>
          <t>NORA</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51212-2023</t>
        </is>
      </c>
      <c r="B2668" s="1" t="n">
        <v>45219.44366898148</v>
      </c>
      <c r="C2668" s="1" t="n">
        <v>45952</v>
      </c>
      <c r="D2668" t="inlineStr">
        <is>
          <t>ÖREBRO LÄN</t>
        </is>
      </c>
      <c r="E2668" t="inlineStr">
        <is>
          <t>HÄLLEFORS</t>
        </is>
      </c>
      <c r="F2668" t="inlineStr">
        <is>
          <t>Bergvik skog väst AB</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45710-2023</t>
        </is>
      </c>
      <c r="B2669" s="1" t="n">
        <v>45195.35254629629</v>
      </c>
      <c r="C2669" s="1" t="n">
        <v>45952</v>
      </c>
      <c r="D2669" t="inlineStr">
        <is>
          <t>ÖREBRO LÄN</t>
        </is>
      </c>
      <c r="E2669" t="inlineStr">
        <is>
          <t>HÄLLEFORS</t>
        </is>
      </c>
      <c r="G2669" t="n">
        <v>5.4</v>
      </c>
      <c r="H2669" t="n">
        <v>0</v>
      </c>
      <c r="I2669" t="n">
        <v>0</v>
      </c>
      <c r="J2669" t="n">
        <v>0</v>
      </c>
      <c r="K2669" t="n">
        <v>0</v>
      </c>
      <c r="L2669" t="n">
        <v>0</v>
      </c>
      <c r="M2669" t="n">
        <v>0</v>
      </c>
      <c r="N2669" t="n">
        <v>0</v>
      </c>
      <c r="O2669" t="n">
        <v>0</v>
      </c>
      <c r="P2669" t="n">
        <v>0</v>
      </c>
      <c r="Q2669" t="n">
        <v>0</v>
      </c>
      <c r="R2669" s="2" t="inlineStr"/>
    </row>
    <row r="2670" ht="15" customHeight="1">
      <c r="A2670" t="inlineStr">
        <is>
          <t>A 39513-2025</t>
        </is>
      </c>
      <c r="B2670" s="1" t="n">
        <v>45890.41581018519</v>
      </c>
      <c r="C2670" s="1" t="n">
        <v>45952</v>
      </c>
      <c r="D2670" t="inlineStr">
        <is>
          <t>ÖREBRO LÄN</t>
        </is>
      </c>
      <c r="E2670" t="inlineStr">
        <is>
          <t>NORA</t>
        </is>
      </c>
      <c r="F2670" t="inlineStr">
        <is>
          <t>Kommuner</t>
        </is>
      </c>
      <c r="G2670" t="n">
        <v>9.300000000000001</v>
      </c>
      <c r="H2670" t="n">
        <v>0</v>
      </c>
      <c r="I2670" t="n">
        <v>0</v>
      </c>
      <c r="J2670" t="n">
        <v>0</v>
      </c>
      <c r="K2670" t="n">
        <v>0</v>
      </c>
      <c r="L2670" t="n">
        <v>0</v>
      </c>
      <c r="M2670" t="n">
        <v>0</v>
      </c>
      <c r="N2670" t="n">
        <v>0</v>
      </c>
      <c r="O2670" t="n">
        <v>0</v>
      </c>
      <c r="P2670" t="n">
        <v>0</v>
      </c>
      <c r="Q2670" t="n">
        <v>0</v>
      </c>
      <c r="R2670" s="2" t="inlineStr"/>
    </row>
    <row r="2671" ht="15" customHeight="1">
      <c r="A2671" t="inlineStr">
        <is>
          <t>A 39514-2025</t>
        </is>
      </c>
      <c r="B2671" s="1" t="n">
        <v>45890.41994212963</v>
      </c>
      <c r="C2671" s="1" t="n">
        <v>45952</v>
      </c>
      <c r="D2671" t="inlineStr">
        <is>
          <t>ÖREBRO LÄN</t>
        </is>
      </c>
      <c r="E2671" t="inlineStr">
        <is>
          <t>LJUSNARSBERG</t>
        </is>
      </c>
      <c r="F2671" t="inlineStr">
        <is>
          <t>Bergvik skog väst AB</t>
        </is>
      </c>
      <c r="G2671" t="n">
        <v>10.8</v>
      </c>
      <c r="H2671" t="n">
        <v>0</v>
      </c>
      <c r="I2671" t="n">
        <v>0</v>
      </c>
      <c r="J2671" t="n">
        <v>0</v>
      </c>
      <c r="K2671" t="n">
        <v>0</v>
      </c>
      <c r="L2671" t="n">
        <v>0</v>
      </c>
      <c r="M2671" t="n">
        <v>0</v>
      </c>
      <c r="N2671" t="n">
        <v>0</v>
      </c>
      <c r="O2671" t="n">
        <v>0</v>
      </c>
      <c r="P2671" t="n">
        <v>0</v>
      </c>
      <c r="Q2671" t="n">
        <v>0</v>
      </c>
      <c r="R2671" s="2" t="inlineStr"/>
    </row>
    <row r="2672" ht="15" customHeight="1">
      <c r="A2672" t="inlineStr">
        <is>
          <t>A 22381-2025</t>
        </is>
      </c>
      <c r="B2672" s="1" t="n">
        <v>45786</v>
      </c>
      <c r="C2672" s="1" t="n">
        <v>45952</v>
      </c>
      <c r="D2672" t="inlineStr">
        <is>
          <t>ÖREBRO LÄN</t>
        </is>
      </c>
      <c r="E2672" t="inlineStr">
        <is>
          <t>LAXÅ</t>
        </is>
      </c>
      <c r="F2672" t="inlineStr">
        <is>
          <t>Sveaskog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11974-2025</t>
        </is>
      </c>
      <c r="B2673" s="1" t="n">
        <v>45728.58998842593</v>
      </c>
      <c r="C2673" s="1" t="n">
        <v>45952</v>
      </c>
      <c r="D2673" t="inlineStr">
        <is>
          <t>ÖREBRO LÄN</t>
        </is>
      </c>
      <c r="E2673" t="inlineStr">
        <is>
          <t>KARLSKOGA</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11984-2025</t>
        </is>
      </c>
      <c r="B2674" s="1" t="n">
        <v>45728.59774305556</v>
      </c>
      <c r="C2674" s="1" t="n">
        <v>45952</v>
      </c>
      <c r="D2674" t="inlineStr">
        <is>
          <t>ÖREBRO LÄN</t>
        </is>
      </c>
      <c r="E2674" t="inlineStr">
        <is>
          <t>HALLSBERG</t>
        </is>
      </c>
      <c r="F2674" t="inlineStr">
        <is>
          <t>Sveaskog</t>
        </is>
      </c>
      <c r="G2674" t="n">
        <v>5</v>
      </c>
      <c r="H2674" t="n">
        <v>0</v>
      </c>
      <c r="I2674" t="n">
        <v>0</v>
      </c>
      <c r="J2674" t="n">
        <v>0</v>
      </c>
      <c r="K2674" t="n">
        <v>0</v>
      </c>
      <c r="L2674" t="n">
        <v>0</v>
      </c>
      <c r="M2674" t="n">
        <v>0</v>
      </c>
      <c r="N2674" t="n">
        <v>0</v>
      </c>
      <c r="O2674" t="n">
        <v>0</v>
      </c>
      <c r="P2674" t="n">
        <v>0</v>
      </c>
      <c r="Q2674" t="n">
        <v>0</v>
      </c>
      <c r="R2674" s="2" t="inlineStr"/>
    </row>
    <row r="2675" ht="15" customHeight="1">
      <c r="A2675" t="inlineStr">
        <is>
          <t>A 44760-2024</t>
        </is>
      </c>
      <c r="B2675" s="1" t="n">
        <v>45574</v>
      </c>
      <c r="C2675" s="1" t="n">
        <v>45952</v>
      </c>
      <c r="D2675" t="inlineStr">
        <is>
          <t>ÖREBRO LÄN</t>
        </is>
      </c>
      <c r="E2675" t="inlineStr">
        <is>
          <t>LJUSNARSBERG</t>
        </is>
      </c>
      <c r="F2675" t="inlineStr">
        <is>
          <t>Bergvik skog väst AB</t>
        </is>
      </c>
      <c r="G2675" t="n">
        <v>11.4</v>
      </c>
      <c r="H2675" t="n">
        <v>0</v>
      </c>
      <c r="I2675" t="n">
        <v>0</v>
      </c>
      <c r="J2675" t="n">
        <v>0</v>
      </c>
      <c r="K2675" t="n">
        <v>0</v>
      </c>
      <c r="L2675" t="n">
        <v>0</v>
      </c>
      <c r="M2675" t="n">
        <v>0</v>
      </c>
      <c r="N2675" t="n">
        <v>0</v>
      </c>
      <c r="O2675" t="n">
        <v>0</v>
      </c>
      <c r="P2675" t="n">
        <v>0</v>
      </c>
      <c r="Q2675" t="n">
        <v>0</v>
      </c>
      <c r="R2675" s="2" t="inlineStr"/>
    </row>
    <row r="2676" ht="15" customHeight="1">
      <c r="A2676" t="inlineStr">
        <is>
          <t>A 47862-2025</t>
        </is>
      </c>
      <c r="B2676" s="1" t="n">
        <v>45932.42637731481</v>
      </c>
      <c r="C2676" s="1" t="n">
        <v>45952</v>
      </c>
      <c r="D2676" t="inlineStr">
        <is>
          <t>ÖREBRO LÄN</t>
        </is>
      </c>
      <c r="E2676" t="inlineStr">
        <is>
          <t>HÄLLEFORS</t>
        </is>
      </c>
      <c r="F2676" t="inlineStr">
        <is>
          <t>Bergvik skog väst AB</t>
        </is>
      </c>
      <c r="G2676" t="n">
        <v>6.3</v>
      </c>
      <c r="H2676" t="n">
        <v>0</v>
      </c>
      <c r="I2676" t="n">
        <v>0</v>
      </c>
      <c r="J2676" t="n">
        <v>0</v>
      </c>
      <c r="K2676" t="n">
        <v>0</v>
      </c>
      <c r="L2676" t="n">
        <v>0</v>
      </c>
      <c r="M2676" t="n">
        <v>0</v>
      </c>
      <c r="N2676" t="n">
        <v>0</v>
      </c>
      <c r="O2676" t="n">
        <v>0</v>
      </c>
      <c r="P2676" t="n">
        <v>0</v>
      </c>
      <c r="Q2676" t="n">
        <v>0</v>
      </c>
      <c r="R2676" s="2" t="inlineStr"/>
    </row>
    <row r="2677" ht="15" customHeight="1">
      <c r="A2677" t="inlineStr">
        <is>
          <t>A 47906-2025</t>
        </is>
      </c>
      <c r="B2677" s="1" t="n">
        <v>45932.50626157408</v>
      </c>
      <c r="C2677" s="1" t="n">
        <v>45952</v>
      </c>
      <c r="D2677" t="inlineStr">
        <is>
          <t>ÖREBRO LÄN</t>
        </is>
      </c>
      <c r="E2677" t="inlineStr">
        <is>
          <t>HALLSBERG</t>
        </is>
      </c>
      <c r="F2677" t="inlineStr">
        <is>
          <t>Sveaskog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47913-2025</t>
        </is>
      </c>
      <c r="B2678" s="1" t="n">
        <v>45932.51337962963</v>
      </c>
      <c r="C2678" s="1" t="n">
        <v>45952</v>
      </c>
      <c r="D2678" t="inlineStr">
        <is>
          <t>ÖREBRO LÄN</t>
        </is>
      </c>
      <c r="E2678" t="inlineStr">
        <is>
          <t>HALLSBERG</t>
        </is>
      </c>
      <c r="F2678" t="inlineStr">
        <is>
          <t>Sveaskog</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29104-2021</t>
        </is>
      </c>
      <c r="B2679" s="1" t="n">
        <v>44358.58163194444</v>
      </c>
      <c r="C2679" s="1" t="n">
        <v>45952</v>
      </c>
      <c r="D2679" t="inlineStr">
        <is>
          <t>ÖREBRO LÄN</t>
        </is>
      </c>
      <c r="E2679" t="inlineStr">
        <is>
          <t>ASKERSUND</t>
        </is>
      </c>
      <c r="G2679" t="n">
        <v>4</v>
      </c>
      <c r="H2679" t="n">
        <v>0</v>
      </c>
      <c r="I2679" t="n">
        <v>0</v>
      </c>
      <c r="J2679" t="n">
        <v>0</v>
      </c>
      <c r="K2679" t="n">
        <v>0</v>
      </c>
      <c r="L2679" t="n">
        <v>0</v>
      </c>
      <c r="M2679" t="n">
        <v>0</v>
      </c>
      <c r="N2679" t="n">
        <v>0</v>
      </c>
      <c r="O2679" t="n">
        <v>0</v>
      </c>
      <c r="P2679" t="n">
        <v>0</v>
      </c>
      <c r="Q2679" t="n">
        <v>0</v>
      </c>
      <c r="R2679" s="2" t="inlineStr"/>
    </row>
    <row r="2680" ht="15" customHeight="1">
      <c r="A2680" t="inlineStr">
        <is>
          <t>A 47920-2025</t>
        </is>
      </c>
      <c r="B2680" s="1" t="n">
        <v>45932.53057870371</v>
      </c>
      <c r="C2680" s="1" t="n">
        <v>45952</v>
      </c>
      <c r="D2680" t="inlineStr">
        <is>
          <t>ÖREBRO LÄN</t>
        </is>
      </c>
      <c r="E2680" t="inlineStr">
        <is>
          <t>HALLSBERG</t>
        </is>
      </c>
      <c r="F2680" t="inlineStr">
        <is>
          <t>Sveaskog</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47921-2025</t>
        </is>
      </c>
      <c r="B2681" s="1" t="n">
        <v>45932.53211805555</v>
      </c>
      <c r="C2681" s="1" t="n">
        <v>45952</v>
      </c>
      <c r="D2681" t="inlineStr">
        <is>
          <t>ÖREBRO LÄN</t>
        </is>
      </c>
      <c r="E2681" t="inlineStr">
        <is>
          <t>HALLSBERG</t>
        </is>
      </c>
      <c r="F2681" t="inlineStr">
        <is>
          <t>Sveaskog</t>
        </is>
      </c>
      <c r="G2681" t="n">
        <v>3.8</v>
      </c>
      <c r="H2681" t="n">
        <v>0</v>
      </c>
      <c r="I2681" t="n">
        <v>0</v>
      </c>
      <c r="J2681" t="n">
        <v>0</v>
      </c>
      <c r="K2681" t="n">
        <v>0</v>
      </c>
      <c r="L2681" t="n">
        <v>0</v>
      </c>
      <c r="M2681" t="n">
        <v>0</v>
      </c>
      <c r="N2681" t="n">
        <v>0</v>
      </c>
      <c r="O2681" t="n">
        <v>0</v>
      </c>
      <c r="P2681" t="n">
        <v>0</v>
      </c>
      <c r="Q2681" t="n">
        <v>0</v>
      </c>
      <c r="R2681" s="2" t="inlineStr"/>
    </row>
    <row r="2682" ht="15" customHeight="1">
      <c r="A2682" t="inlineStr">
        <is>
          <t>A 2103-2022</t>
        </is>
      </c>
      <c r="B2682" s="1" t="n">
        <v>44577.81121527778</v>
      </c>
      <c r="C2682" s="1" t="n">
        <v>45952</v>
      </c>
      <c r="D2682" t="inlineStr">
        <is>
          <t>ÖREBRO LÄN</t>
        </is>
      </c>
      <c r="E2682" t="inlineStr">
        <is>
          <t>LINDESBERG</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50578-2024</t>
        </is>
      </c>
      <c r="B2683" s="1" t="n">
        <v>45601</v>
      </c>
      <c r="C2683" s="1" t="n">
        <v>45952</v>
      </c>
      <c r="D2683" t="inlineStr">
        <is>
          <t>ÖREBRO LÄN</t>
        </is>
      </c>
      <c r="E2683" t="inlineStr">
        <is>
          <t>LAXÅ</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1412-2025</t>
        </is>
      </c>
      <c r="B2684" s="1" t="n">
        <v>45667.99460648148</v>
      </c>
      <c r="C2684" s="1" t="n">
        <v>45952</v>
      </c>
      <c r="D2684" t="inlineStr">
        <is>
          <t>ÖREBRO LÄN</t>
        </is>
      </c>
      <c r="E2684" t="inlineStr">
        <is>
          <t>ASKERSUND</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9518-2023</t>
        </is>
      </c>
      <c r="B2685" s="1" t="n">
        <v>44981</v>
      </c>
      <c r="C2685" s="1" t="n">
        <v>45952</v>
      </c>
      <c r="D2685" t="inlineStr">
        <is>
          <t>ÖREBRO LÄN</t>
        </is>
      </c>
      <c r="E2685" t="inlineStr">
        <is>
          <t>HÄLLEFORS</t>
        </is>
      </c>
      <c r="F2685" t="inlineStr">
        <is>
          <t>Sveaskog</t>
        </is>
      </c>
      <c r="G2685" t="n">
        <v>2.2</v>
      </c>
      <c r="H2685" t="n">
        <v>0</v>
      </c>
      <c r="I2685" t="n">
        <v>0</v>
      </c>
      <c r="J2685" t="n">
        <v>0</v>
      </c>
      <c r="K2685" t="n">
        <v>0</v>
      </c>
      <c r="L2685" t="n">
        <v>0</v>
      </c>
      <c r="M2685" t="n">
        <v>0</v>
      </c>
      <c r="N2685" t="n">
        <v>0</v>
      </c>
      <c r="O2685" t="n">
        <v>0</v>
      </c>
      <c r="P2685" t="n">
        <v>0</v>
      </c>
      <c r="Q2685" t="n">
        <v>0</v>
      </c>
      <c r="R2685" s="2" t="inlineStr"/>
    </row>
    <row r="2686" ht="15" customHeight="1">
      <c r="A2686" t="inlineStr">
        <is>
          <t>A 9663-2023</t>
        </is>
      </c>
      <c r="B2686" s="1" t="n">
        <v>44978</v>
      </c>
      <c r="C2686" s="1" t="n">
        <v>45952</v>
      </c>
      <c r="D2686" t="inlineStr">
        <is>
          <t>ÖREBRO LÄN</t>
        </is>
      </c>
      <c r="E2686" t="inlineStr">
        <is>
          <t>HALLSBERG</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44811-2023</t>
        </is>
      </c>
      <c r="B2687" s="1" t="n">
        <v>45190</v>
      </c>
      <c r="C2687" s="1" t="n">
        <v>45952</v>
      </c>
      <c r="D2687" t="inlineStr">
        <is>
          <t>ÖREBRO LÄN</t>
        </is>
      </c>
      <c r="E2687" t="inlineStr">
        <is>
          <t>HALLSBERG</t>
        </is>
      </c>
      <c r="F2687" t="inlineStr">
        <is>
          <t>Allmännings- och besparingsskogar</t>
        </is>
      </c>
      <c r="G2687" t="n">
        <v>3.9</v>
      </c>
      <c r="H2687" t="n">
        <v>0</v>
      </c>
      <c r="I2687" t="n">
        <v>0</v>
      </c>
      <c r="J2687" t="n">
        <v>0</v>
      </c>
      <c r="K2687" t="n">
        <v>0</v>
      </c>
      <c r="L2687" t="n">
        <v>0</v>
      </c>
      <c r="M2687" t="n">
        <v>0</v>
      </c>
      <c r="N2687" t="n">
        <v>0</v>
      </c>
      <c r="O2687" t="n">
        <v>0</v>
      </c>
      <c r="P2687" t="n">
        <v>0</v>
      </c>
      <c r="Q2687" t="n">
        <v>0</v>
      </c>
      <c r="R2687" s="2" t="inlineStr"/>
    </row>
    <row r="2688" ht="15" customHeight="1">
      <c r="A2688" t="inlineStr">
        <is>
          <t>A 57867-2024</t>
        </is>
      </c>
      <c r="B2688" s="1" t="n">
        <v>45631.43864583333</v>
      </c>
      <c r="C2688" s="1" t="n">
        <v>45952</v>
      </c>
      <c r="D2688" t="inlineStr">
        <is>
          <t>ÖREBRO LÄN</t>
        </is>
      </c>
      <c r="E2688" t="inlineStr">
        <is>
          <t>ÖREBRO</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19853-2022</t>
        </is>
      </c>
      <c r="B2689" s="1" t="n">
        <v>44696.95393518519</v>
      </c>
      <c r="C2689" s="1" t="n">
        <v>45952</v>
      </c>
      <c r="D2689" t="inlineStr">
        <is>
          <t>ÖREBRO LÄN</t>
        </is>
      </c>
      <c r="E2689" t="inlineStr">
        <is>
          <t>HALLSBERG</t>
        </is>
      </c>
      <c r="F2689" t="inlineStr">
        <is>
          <t>Sveaskog</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17016-2023</t>
        </is>
      </c>
      <c r="B2690" s="1" t="n">
        <v>45034</v>
      </c>
      <c r="C2690" s="1" t="n">
        <v>45952</v>
      </c>
      <c r="D2690" t="inlineStr">
        <is>
          <t>ÖREBRO LÄN</t>
        </is>
      </c>
      <c r="E2690" t="inlineStr">
        <is>
          <t>HALLSBERG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19044-2023</t>
        </is>
      </c>
      <c r="B2691" s="1" t="n">
        <v>45047</v>
      </c>
      <c r="C2691" s="1" t="n">
        <v>45952</v>
      </c>
      <c r="D2691" t="inlineStr">
        <is>
          <t>ÖREBRO LÄN</t>
        </is>
      </c>
      <c r="E2691" t="inlineStr">
        <is>
          <t>LEKEBERG</t>
        </is>
      </c>
      <c r="G2691" t="n">
        <v>0.3</v>
      </c>
      <c r="H2691" t="n">
        <v>0</v>
      </c>
      <c r="I2691" t="n">
        <v>0</v>
      </c>
      <c r="J2691" t="n">
        <v>0</v>
      </c>
      <c r="K2691" t="n">
        <v>0</v>
      </c>
      <c r="L2691" t="n">
        <v>0</v>
      </c>
      <c r="M2691" t="n">
        <v>0</v>
      </c>
      <c r="N2691" t="n">
        <v>0</v>
      </c>
      <c r="O2691" t="n">
        <v>0</v>
      </c>
      <c r="P2691" t="n">
        <v>0</v>
      </c>
      <c r="Q2691" t="n">
        <v>0</v>
      </c>
      <c r="R2691" s="2" t="inlineStr"/>
    </row>
    <row r="2692" ht="15" customHeight="1">
      <c r="A2692" t="inlineStr">
        <is>
          <t>A 5049-2022</t>
        </is>
      </c>
      <c r="B2692" s="1" t="n">
        <v>44593</v>
      </c>
      <c r="C2692" s="1" t="n">
        <v>45952</v>
      </c>
      <c r="D2692" t="inlineStr">
        <is>
          <t>ÖREBRO LÄN</t>
        </is>
      </c>
      <c r="E2692" t="inlineStr">
        <is>
          <t>NORA</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5050-2022</t>
        </is>
      </c>
      <c r="B2693" s="1" t="n">
        <v>44593.68526620371</v>
      </c>
      <c r="C2693" s="1" t="n">
        <v>45952</v>
      </c>
      <c r="D2693" t="inlineStr">
        <is>
          <t>ÖREBRO LÄN</t>
        </is>
      </c>
      <c r="E2693" t="inlineStr">
        <is>
          <t>ASKERSUND</t>
        </is>
      </c>
      <c r="F2693" t="inlineStr">
        <is>
          <t>Allmännings- och besparingsskogar</t>
        </is>
      </c>
      <c r="G2693" t="n">
        <v>2.9</v>
      </c>
      <c r="H2693" t="n">
        <v>0</v>
      </c>
      <c r="I2693" t="n">
        <v>0</v>
      </c>
      <c r="J2693" t="n">
        <v>0</v>
      </c>
      <c r="K2693" t="n">
        <v>0</v>
      </c>
      <c r="L2693" t="n">
        <v>0</v>
      </c>
      <c r="M2693" t="n">
        <v>0</v>
      </c>
      <c r="N2693" t="n">
        <v>0</v>
      </c>
      <c r="O2693" t="n">
        <v>0</v>
      </c>
      <c r="P2693" t="n">
        <v>0</v>
      </c>
      <c r="Q2693" t="n">
        <v>0</v>
      </c>
      <c r="R2693" s="2" t="inlineStr"/>
    </row>
    <row r="2694" ht="15" customHeight="1">
      <c r="A2694" t="inlineStr">
        <is>
          <t>A 36420-2024</t>
        </is>
      </c>
      <c r="B2694" s="1" t="n">
        <v>45536.64768518518</v>
      </c>
      <c r="C2694" s="1" t="n">
        <v>45952</v>
      </c>
      <c r="D2694" t="inlineStr">
        <is>
          <t>ÖREBRO LÄN</t>
        </is>
      </c>
      <c r="E2694" t="inlineStr">
        <is>
          <t>LAXÅ</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13968-2025</t>
        </is>
      </c>
      <c r="B2695" s="1" t="n">
        <v>45738.42981481482</v>
      </c>
      <c r="C2695" s="1" t="n">
        <v>45952</v>
      </c>
      <c r="D2695" t="inlineStr">
        <is>
          <t>ÖREBRO LÄN</t>
        </is>
      </c>
      <c r="E2695" t="inlineStr">
        <is>
          <t>LINDESBERG</t>
        </is>
      </c>
      <c r="G2695" t="n">
        <v>1.5</v>
      </c>
      <c r="H2695" t="n">
        <v>0</v>
      </c>
      <c r="I2695" t="n">
        <v>0</v>
      </c>
      <c r="J2695" t="n">
        <v>0</v>
      </c>
      <c r="K2695" t="n">
        <v>0</v>
      </c>
      <c r="L2695" t="n">
        <v>0</v>
      </c>
      <c r="M2695" t="n">
        <v>0</v>
      </c>
      <c r="N2695" t="n">
        <v>0</v>
      </c>
      <c r="O2695" t="n">
        <v>0</v>
      </c>
      <c r="P2695" t="n">
        <v>0</v>
      </c>
      <c r="Q2695" t="n">
        <v>0</v>
      </c>
      <c r="R2695" s="2" t="inlineStr"/>
    </row>
    <row r="2696" ht="15" customHeight="1">
      <c r="A2696" t="inlineStr">
        <is>
          <t>A 59056-2024</t>
        </is>
      </c>
      <c r="B2696" s="1" t="n">
        <v>45636</v>
      </c>
      <c r="C2696" s="1" t="n">
        <v>45952</v>
      </c>
      <c r="D2696" t="inlineStr">
        <is>
          <t>ÖREBRO LÄN</t>
        </is>
      </c>
      <c r="E2696" t="inlineStr">
        <is>
          <t>NORA</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39479-2025</t>
        </is>
      </c>
      <c r="B2697" s="1" t="n">
        <v>45890.34752314815</v>
      </c>
      <c r="C2697" s="1" t="n">
        <v>45952</v>
      </c>
      <c r="D2697" t="inlineStr">
        <is>
          <t>ÖREBRO LÄN</t>
        </is>
      </c>
      <c r="E2697" t="inlineStr">
        <is>
          <t>ÖREBRO</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48393-2025</t>
        </is>
      </c>
      <c r="B2698" s="1" t="n">
        <v>45933.90118055556</v>
      </c>
      <c r="C2698" s="1" t="n">
        <v>45952</v>
      </c>
      <c r="D2698" t="inlineStr">
        <is>
          <t>ÖREBRO LÄN</t>
        </is>
      </c>
      <c r="E2698" t="inlineStr">
        <is>
          <t>ASKERSUND</t>
        </is>
      </c>
      <c r="F2698" t="inlineStr">
        <is>
          <t>Sveaskog</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33424-2024</t>
        </is>
      </c>
      <c r="B2699" s="1" t="n">
        <v>45519.51627314815</v>
      </c>
      <c r="C2699" s="1" t="n">
        <v>45952</v>
      </c>
      <c r="D2699" t="inlineStr">
        <is>
          <t>ÖREBRO LÄN</t>
        </is>
      </c>
      <c r="E2699" t="inlineStr">
        <is>
          <t>LINDESBERG</t>
        </is>
      </c>
      <c r="F2699" t="inlineStr">
        <is>
          <t>Sveaskog</t>
        </is>
      </c>
      <c r="G2699" t="n">
        <v>0.1</v>
      </c>
      <c r="H2699" t="n">
        <v>0</v>
      </c>
      <c r="I2699" t="n">
        <v>0</v>
      </c>
      <c r="J2699" t="n">
        <v>0</v>
      </c>
      <c r="K2699" t="n">
        <v>0</v>
      </c>
      <c r="L2699" t="n">
        <v>0</v>
      </c>
      <c r="M2699" t="n">
        <v>0</v>
      </c>
      <c r="N2699" t="n">
        <v>0</v>
      </c>
      <c r="O2699" t="n">
        <v>0</v>
      </c>
      <c r="P2699" t="n">
        <v>0</v>
      </c>
      <c r="Q2699" t="n">
        <v>0</v>
      </c>
      <c r="R2699" s="2" t="inlineStr"/>
    </row>
    <row r="2700" ht="15" customHeight="1">
      <c r="A2700" t="inlineStr">
        <is>
          <t>A 26176-2024</t>
        </is>
      </c>
      <c r="B2700" s="1" t="n">
        <v>45468.55660879629</v>
      </c>
      <c r="C2700" s="1" t="n">
        <v>45952</v>
      </c>
      <c r="D2700" t="inlineStr">
        <is>
          <t>ÖREBRO LÄN</t>
        </is>
      </c>
      <c r="E2700" t="inlineStr">
        <is>
          <t>DEGERFORS</t>
        </is>
      </c>
      <c r="F2700" t="inlineStr">
        <is>
          <t>Sveaskog</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74186-2021</t>
        </is>
      </c>
      <c r="B2701" s="1" t="n">
        <v>44558</v>
      </c>
      <c r="C2701" s="1" t="n">
        <v>45952</v>
      </c>
      <c r="D2701" t="inlineStr">
        <is>
          <t>ÖREBRO LÄN</t>
        </is>
      </c>
      <c r="E2701" t="inlineStr">
        <is>
          <t>ASKERSUND</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57911-2022</t>
        </is>
      </c>
      <c r="B2702" s="1" t="n">
        <v>44900.36149305556</v>
      </c>
      <c r="C2702" s="1" t="n">
        <v>45952</v>
      </c>
      <c r="D2702" t="inlineStr">
        <is>
          <t>ÖREBRO LÄN</t>
        </is>
      </c>
      <c r="E2702" t="inlineStr">
        <is>
          <t>LINDESBERG</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36928-2021</t>
        </is>
      </c>
      <c r="B2703" s="1" t="n">
        <v>44393.49886574074</v>
      </c>
      <c r="C2703" s="1" t="n">
        <v>45952</v>
      </c>
      <c r="D2703" t="inlineStr">
        <is>
          <t>ÖREBRO LÄN</t>
        </is>
      </c>
      <c r="E2703" t="inlineStr">
        <is>
          <t>LAXÅ</t>
        </is>
      </c>
      <c r="F2703" t="inlineStr">
        <is>
          <t>Sveaskog</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47975-2025</t>
        </is>
      </c>
      <c r="B2704" s="1" t="n">
        <v>45932</v>
      </c>
      <c r="C2704" s="1" t="n">
        <v>45952</v>
      </c>
      <c r="D2704" t="inlineStr">
        <is>
          <t>ÖREBRO LÄN</t>
        </is>
      </c>
      <c r="E2704" t="inlineStr">
        <is>
          <t>DEGERFORS</t>
        </is>
      </c>
      <c r="G2704" t="n">
        <v>11.8</v>
      </c>
      <c r="H2704" t="n">
        <v>0</v>
      </c>
      <c r="I2704" t="n">
        <v>0</v>
      </c>
      <c r="J2704" t="n">
        <v>0</v>
      </c>
      <c r="K2704" t="n">
        <v>0</v>
      </c>
      <c r="L2704" t="n">
        <v>0</v>
      </c>
      <c r="M2704" t="n">
        <v>0</v>
      </c>
      <c r="N2704" t="n">
        <v>0</v>
      </c>
      <c r="O2704" t="n">
        <v>0</v>
      </c>
      <c r="P2704" t="n">
        <v>0</v>
      </c>
      <c r="Q2704" t="n">
        <v>0</v>
      </c>
      <c r="R2704" s="2" t="inlineStr"/>
    </row>
    <row r="2705" ht="15" customHeight="1">
      <c r="A2705" t="inlineStr">
        <is>
          <t>A 13355-2023</t>
        </is>
      </c>
      <c r="B2705" s="1" t="n">
        <v>45004</v>
      </c>
      <c r="C2705" s="1" t="n">
        <v>45952</v>
      </c>
      <c r="D2705" t="inlineStr">
        <is>
          <t>ÖREBRO LÄN</t>
        </is>
      </c>
      <c r="E2705" t="inlineStr">
        <is>
          <t>ÖREBRO</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764-2024</t>
        </is>
      </c>
      <c r="B2706" s="1" t="n">
        <v>45300.51512731481</v>
      </c>
      <c r="C2706" s="1" t="n">
        <v>45952</v>
      </c>
      <c r="D2706" t="inlineStr">
        <is>
          <t>ÖREBRO LÄN</t>
        </is>
      </c>
      <c r="E2706" t="inlineStr">
        <is>
          <t>ÖREBRO</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47847-2025</t>
        </is>
      </c>
      <c r="B2707" s="1" t="n">
        <v>45932.38244212963</v>
      </c>
      <c r="C2707" s="1" t="n">
        <v>45952</v>
      </c>
      <c r="D2707" t="inlineStr">
        <is>
          <t>ÖREBRO LÄN</t>
        </is>
      </c>
      <c r="E2707" t="inlineStr">
        <is>
          <t>HÄLLEFORS</t>
        </is>
      </c>
      <c r="F2707" t="inlineStr">
        <is>
          <t>Bergvik skog väst AB</t>
        </is>
      </c>
      <c r="G2707" t="n">
        <v>11.5</v>
      </c>
      <c r="H2707" t="n">
        <v>0</v>
      </c>
      <c r="I2707" t="n">
        <v>0</v>
      </c>
      <c r="J2707" t="n">
        <v>0</v>
      </c>
      <c r="K2707" t="n">
        <v>0</v>
      </c>
      <c r="L2707" t="n">
        <v>0</v>
      </c>
      <c r="M2707" t="n">
        <v>0</v>
      </c>
      <c r="N2707" t="n">
        <v>0</v>
      </c>
      <c r="O2707" t="n">
        <v>0</v>
      </c>
      <c r="P2707" t="n">
        <v>0</v>
      </c>
      <c r="Q2707" t="n">
        <v>0</v>
      </c>
      <c r="R2707" s="2" t="inlineStr"/>
    </row>
    <row r="2708" ht="15" customHeight="1">
      <c r="A2708" t="inlineStr">
        <is>
          <t>A 48061-2025</t>
        </is>
      </c>
      <c r="B2708" s="1" t="n">
        <v>45932.68006944445</v>
      </c>
      <c r="C2708" s="1" t="n">
        <v>45952</v>
      </c>
      <c r="D2708" t="inlineStr">
        <is>
          <t>ÖREBRO LÄN</t>
        </is>
      </c>
      <c r="E2708" t="inlineStr">
        <is>
          <t>LINDESBERG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22438-2025</t>
        </is>
      </c>
      <c r="B2709" s="1" t="n">
        <v>45786</v>
      </c>
      <c r="C2709" s="1" t="n">
        <v>45952</v>
      </c>
      <c r="D2709" t="inlineStr">
        <is>
          <t>ÖREBRO LÄN</t>
        </is>
      </c>
      <c r="E2709" t="inlineStr">
        <is>
          <t>LINDESBERG</t>
        </is>
      </c>
      <c r="F2709" t="inlineStr">
        <is>
          <t>Sveaskog</t>
        </is>
      </c>
      <c r="G2709" t="n">
        <v>6.1</v>
      </c>
      <c r="H2709" t="n">
        <v>0</v>
      </c>
      <c r="I2709" t="n">
        <v>0</v>
      </c>
      <c r="J2709" t="n">
        <v>0</v>
      </c>
      <c r="K2709" t="n">
        <v>0</v>
      </c>
      <c r="L2709" t="n">
        <v>0</v>
      </c>
      <c r="M2709" t="n">
        <v>0</v>
      </c>
      <c r="N2709" t="n">
        <v>0</v>
      </c>
      <c r="O2709" t="n">
        <v>0</v>
      </c>
      <c r="P2709" t="n">
        <v>0</v>
      </c>
      <c r="Q2709" t="n">
        <v>0</v>
      </c>
      <c r="R2709" s="2" t="inlineStr"/>
    </row>
    <row r="2710" ht="15" customHeight="1">
      <c r="A2710" t="inlineStr">
        <is>
          <t>A 22564-2025</t>
        </is>
      </c>
      <c r="B2710" s="1" t="n">
        <v>45789.35614583334</v>
      </c>
      <c r="C2710" s="1" t="n">
        <v>45952</v>
      </c>
      <c r="D2710" t="inlineStr">
        <is>
          <t>ÖREBRO LÄN</t>
        </is>
      </c>
      <c r="E2710" t="inlineStr">
        <is>
          <t>LAXÅ</t>
        </is>
      </c>
      <c r="G2710" t="n">
        <v>4.1</v>
      </c>
      <c r="H2710" t="n">
        <v>0</v>
      </c>
      <c r="I2710" t="n">
        <v>0</v>
      </c>
      <c r="J2710" t="n">
        <v>0</v>
      </c>
      <c r="K2710" t="n">
        <v>0</v>
      </c>
      <c r="L2710" t="n">
        <v>0</v>
      </c>
      <c r="M2710" t="n">
        <v>0</v>
      </c>
      <c r="N2710" t="n">
        <v>0</v>
      </c>
      <c r="O2710" t="n">
        <v>0</v>
      </c>
      <c r="P2710" t="n">
        <v>0</v>
      </c>
      <c r="Q2710" t="n">
        <v>0</v>
      </c>
      <c r="R2710" s="2" t="inlineStr"/>
    </row>
    <row r="2711" ht="15" customHeight="1">
      <c r="A2711" t="inlineStr">
        <is>
          <t>A 6470-2024</t>
        </is>
      </c>
      <c r="B2711" s="1" t="n">
        <v>45338</v>
      </c>
      <c r="C2711" s="1" t="n">
        <v>45952</v>
      </c>
      <c r="D2711" t="inlineStr">
        <is>
          <t>ÖREBRO LÄN</t>
        </is>
      </c>
      <c r="E2711" t="inlineStr">
        <is>
          <t>LINDESBERG</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62982-2023</t>
        </is>
      </c>
      <c r="B2712" s="1" t="n">
        <v>45272</v>
      </c>
      <c r="C2712" s="1" t="n">
        <v>45952</v>
      </c>
      <c r="D2712" t="inlineStr">
        <is>
          <t>ÖREBRO LÄN</t>
        </is>
      </c>
      <c r="E2712" t="inlineStr">
        <is>
          <t>DEGERFORS</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12418-2023</t>
        </is>
      </c>
      <c r="B2713" s="1" t="n">
        <v>44999.52805555556</v>
      </c>
      <c r="C2713" s="1" t="n">
        <v>45952</v>
      </c>
      <c r="D2713" t="inlineStr">
        <is>
          <t>ÖREBRO LÄN</t>
        </is>
      </c>
      <c r="E2713" t="inlineStr">
        <is>
          <t>ASKERSUND</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12423-2023</t>
        </is>
      </c>
      <c r="B2714" s="1" t="n">
        <v>44999.53216435185</v>
      </c>
      <c r="C2714" s="1" t="n">
        <v>45952</v>
      </c>
      <c r="D2714" t="inlineStr">
        <is>
          <t>ÖREBRO LÄN</t>
        </is>
      </c>
      <c r="E2714" t="inlineStr">
        <is>
          <t>ASKERSUND</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25723-2023</t>
        </is>
      </c>
      <c r="B2715" s="1" t="n">
        <v>45090.3674537037</v>
      </c>
      <c r="C2715" s="1" t="n">
        <v>45952</v>
      </c>
      <c r="D2715" t="inlineStr">
        <is>
          <t>ÖREBRO LÄN</t>
        </is>
      </c>
      <c r="E2715" t="inlineStr">
        <is>
          <t>NORA</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25744-2023</t>
        </is>
      </c>
      <c r="B2716" s="1" t="n">
        <v>45090.43478009259</v>
      </c>
      <c r="C2716" s="1" t="n">
        <v>45952</v>
      </c>
      <c r="D2716" t="inlineStr">
        <is>
          <t>ÖREBRO LÄN</t>
        </is>
      </c>
      <c r="E2716" t="inlineStr">
        <is>
          <t>LAXÅ</t>
        </is>
      </c>
      <c r="F2716" t="inlineStr">
        <is>
          <t>Sveaskog</t>
        </is>
      </c>
      <c r="G2716" t="n">
        <v>3.2</v>
      </c>
      <c r="H2716" t="n">
        <v>0</v>
      </c>
      <c r="I2716" t="n">
        <v>0</v>
      </c>
      <c r="J2716" t="n">
        <v>0</v>
      </c>
      <c r="K2716" t="n">
        <v>0</v>
      </c>
      <c r="L2716" t="n">
        <v>0</v>
      </c>
      <c r="M2716" t="n">
        <v>0</v>
      </c>
      <c r="N2716" t="n">
        <v>0</v>
      </c>
      <c r="O2716" t="n">
        <v>0</v>
      </c>
      <c r="P2716" t="n">
        <v>0</v>
      </c>
      <c r="Q2716" t="n">
        <v>0</v>
      </c>
      <c r="R2716" s="2" t="inlineStr"/>
    </row>
    <row r="2717" ht="15" customHeight="1">
      <c r="A2717" t="inlineStr">
        <is>
          <t>A 58606-2024</t>
        </is>
      </c>
      <c r="B2717" s="1" t="n">
        <v>45635.54747685185</v>
      </c>
      <c r="C2717" s="1" t="n">
        <v>45952</v>
      </c>
      <c r="D2717" t="inlineStr">
        <is>
          <t>ÖREBRO LÄN</t>
        </is>
      </c>
      <c r="E2717" t="inlineStr">
        <is>
          <t>ÖREBRO</t>
        </is>
      </c>
      <c r="F2717" t="inlineStr">
        <is>
          <t>Sveaskog</t>
        </is>
      </c>
      <c r="G2717" t="n">
        <v>2</v>
      </c>
      <c r="H2717" t="n">
        <v>0</v>
      </c>
      <c r="I2717" t="n">
        <v>0</v>
      </c>
      <c r="J2717" t="n">
        <v>0</v>
      </c>
      <c r="K2717" t="n">
        <v>0</v>
      </c>
      <c r="L2717" t="n">
        <v>0</v>
      </c>
      <c r="M2717" t="n">
        <v>0</v>
      </c>
      <c r="N2717" t="n">
        <v>0</v>
      </c>
      <c r="O2717" t="n">
        <v>0</v>
      </c>
      <c r="P2717" t="n">
        <v>0</v>
      </c>
      <c r="Q2717" t="n">
        <v>0</v>
      </c>
      <c r="R2717" s="2" t="inlineStr"/>
    </row>
    <row r="2718" ht="15" customHeight="1">
      <c r="A2718" t="inlineStr">
        <is>
          <t>A 58697-2024</t>
        </is>
      </c>
      <c r="B2718" s="1" t="n">
        <v>45635.63706018519</v>
      </c>
      <c r="C2718" s="1" t="n">
        <v>45952</v>
      </c>
      <c r="D2718" t="inlineStr">
        <is>
          <t>ÖREBRO LÄN</t>
        </is>
      </c>
      <c r="E2718" t="inlineStr">
        <is>
          <t>LINDESBERG</t>
        </is>
      </c>
      <c r="G2718" t="n">
        <v>25.1</v>
      </c>
      <c r="H2718" t="n">
        <v>0</v>
      </c>
      <c r="I2718" t="n">
        <v>0</v>
      </c>
      <c r="J2718" t="n">
        <v>0</v>
      </c>
      <c r="K2718" t="n">
        <v>0</v>
      </c>
      <c r="L2718" t="n">
        <v>0</v>
      </c>
      <c r="M2718" t="n">
        <v>0</v>
      </c>
      <c r="N2718" t="n">
        <v>0</v>
      </c>
      <c r="O2718" t="n">
        <v>0</v>
      </c>
      <c r="P2718" t="n">
        <v>0</v>
      </c>
      <c r="Q2718" t="n">
        <v>0</v>
      </c>
      <c r="R2718" s="2" t="inlineStr"/>
    </row>
    <row r="2719" ht="15" customHeight="1">
      <c r="A2719" t="inlineStr">
        <is>
          <t>A 3177-2022</t>
        </is>
      </c>
      <c r="B2719" s="1" t="n">
        <v>44582.61244212963</v>
      </c>
      <c r="C2719" s="1" t="n">
        <v>45952</v>
      </c>
      <c r="D2719" t="inlineStr">
        <is>
          <t>ÖREBRO LÄN</t>
        </is>
      </c>
      <c r="E2719" t="inlineStr">
        <is>
          <t>DEGERFORS</t>
        </is>
      </c>
      <c r="G2719" t="n">
        <v>3.7</v>
      </c>
      <c r="H2719" t="n">
        <v>0</v>
      </c>
      <c r="I2719" t="n">
        <v>0</v>
      </c>
      <c r="J2719" t="n">
        <v>0</v>
      </c>
      <c r="K2719" t="n">
        <v>0</v>
      </c>
      <c r="L2719" t="n">
        <v>0</v>
      </c>
      <c r="M2719" t="n">
        <v>0</v>
      </c>
      <c r="N2719" t="n">
        <v>0</v>
      </c>
      <c r="O2719" t="n">
        <v>0</v>
      </c>
      <c r="P2719" t="n">
        <v>0</v>
      </c>
      <c r="Q2719" t="n">
        <v>0</v>
      </c>
      <c r="R2719" s="2" t="inlineStr"/>
    </row>
    <row r="2720" ht="15" customHeight="1">
      <c r="A2720" t="inlineStr">
        <is>
          <t>A 18837-2025</t>
        </is>
      </c>
      <c r="B2720" s="1" t="n">
        <v>45764.4008912037</v>
      </c>
      <c r="C2720" s="1" t="n">
        <v>45952</v>
      </c>
      <c r="D2720" t="inlineStr">
        <is>
          <t>ÖREBRO LÄN</t>
        </is>
      </c>
      <c r="E2720" t="inlineStr">
        <is>
          <t>LAXÅ</t>
        </is>
      </c>
      <c r="F2720" t="inlineStr">
        <is>
          <t>Sveaskog</t>
        </is>
      </c>
      <c r="G2720" t="n">
        <v>5</v>
      </c>
      <c r="H2720" t="n">
        <v>0</v>
      </c>
      <c r="I2720" t="n">
        <v>0</v>
      </c>
      <c r="J2720" t="n">
        <v>0</v>
      </c>
      <c r="K2720" t="n">
        <v>0</v>
      </c>
      <c r="L2720" t="n">
        <v>0</v>
      </c>
      <c r="M2720" t="n">
        <v>0</v>
      </c>
      <c r="N2720" t="n">
        <v>0</v>
      </c>
      <c r="O2720" t="n">
        <v>0</v>
      </c>
      <c r="P2720" t="n">
        <v>0</v>
      </c>
      <c r="Q2720" t="n">
        <v>0</v>
      </c>
      <c r="R2720" s="2" t="inlineStr"/>
    </row>
    <row r="2721" ht="15" customHeight="1">
      <c r="A2721" t="inlineStr">
        <is>
          <t>A 39673-2025</t>
        </is>
      </c>
      <c r="B2721" s="1" t="n">
        <v>45890.64559027777</v>
      </c>
      <c r="C2721" s="1" t="n">
        <v>45952</v>
      </c>
      <c r="D2721" t="inlineStr">
        <is>
          <t>ÖREBRO LÄN</t>
        </is>
      </c>
      <c r="E2721" t="inlineStr">
        <is>
          <t>KARLSKOGA</t>
        </is>
      </c>
      <c r="F2721" t="inlineStr">
        <is>
          <t>Kyrkan</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22755-2025</t>
        </is>
      </c>
      <c r="B2722" s="1" t="n">
        <v>45789.61872685186</v>
      </c>
      <c r="C2722" s="1" t="n">
        <v>45952</v>
      </c>
      <c r="D2722" t="inlineStr">
        <is>
          <t>ÖREBRO LÄN</t>
        </is>
      </c>
      <c r="E2722" t="inlineStr">
        <is>
          <t>ÖREBRO</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47915-2025</t>
        </is>
      </c>
      <c r="B2723" s="1" t="n">
        <v>45932.51552083333</v>
      </c>
      <c r="C2723" s="1" t="n">
        <v>45952</v>
      </c>
      <c r="D2723" t="inlineStr">
        <is>
          <t>ÖREBRO LÄN</t>
        </is>
      </c>
      <c r="E2723" t="inlineStr">
        <is>
          <t>HALLSBERG</t>
        </is>
      </c>
      <c r="F2723" t="inlineStr">
        <is>
          <t>Sveaskog</t>
        </is>
      </c>
      <c r="G2723" t="n">
        <v>2.6</v>
      </c>
      <c r="H2723" t="n">
        <v>0</v>
      </c>
      <c r="I2723" t="n">
        <v>0</v>
      </c>
      <c r="J2723" t="n">
        <v>0</v>
      </c>
      <c r="K2723" t="n">
        <v>0</v>
      </c>
      <c r="L2723" t="n">
        <v>0</v>
      </c>
      <c r="M2723" t="n">
        <v>0</v>
      </c>
      <c r="N2723" t="n">
        <v>0</v>
      </c>
      <c r="O2723" t="n">
        <v>0</v>
      </c>
      <c r="P2723" t="n">
        <v>0</v>
      </c>
      <c r="Q2723" t="n">
        <v>0</v>
      </c>
      <c r="R2723" s="2" t="inlineStr"/>
    </row>
    <row r="2724" ht="15" customHeight="1">
      <c r="A2724" t="inlineStr">
        <is>
          <t>A 123-2025</t>
        </is>
      </c>
      <c r="B2724" s="1" t="n">
        <v>45659.54851851852</v>
      </c>
      <c r="C2724" s="1" t="n">
        <v>45952</v>
      </c>
      <c r="D2724" t="inlineStr">
        <is>
          <t>ÖREBRO LÄN</t>
        </is>
      </c>
      <c r="E2724" t="inlineStr">
        <is>
          <t>ÖREBRO</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39851-2025</t>
        </is>
      </c>
      <c r="B2725" s="1" t="n">
        <v>45891.58603009259</v>
      </c>
      <c r="C2725" s="1" t="n">
        <v>45952</v>
      </c>
      <c r="D2725" t="inlineStr">
        <is>
          <t>ÖREBRO LÄN</t>
        </is>
      </c>
      <c r="E2725" t="inlineStr">
        <is>
          <t>LAXÅ</t>
        </is>
      </c>
      <c r="F2725" t="inlineStr">
        <is>
          <t>Sveaskog</t>
        </is>
      </c>
      <c r="G2725" t="n">
        <v>6.7</v>
      </c>
      <c r="H2725" t="n">
        <v>0</v>
      </c>
      <c r="I2725" t="n">
        <v>0</v>
      </c>
      <c r="J2725" t="n">
        <v>0</v>
      </c>
      <c r="K2725" t="n">
        <v>0</v>
      </c>
      <c r="L2725" t="n">
        <v>0</v>
      </c>
      <c r="M2725" t="n">
        <v>0</v>
      </c>
      <c r="N2725" t="n">
        <v>0</v>
      </c>
      <c r="O2725" t="n">
        <v>0</v>
      </c>
      <c r="P2725" t="n">
        <v>0</v>
      </c>
      <c r="Q2725" t="n">
        <v>0</v>
      </c>
      <c r="R2725" s="2" t="inlineStr"/>
    </row>
    <row r="2726" ht="15" customHeight="1">
      <c r="A2726" t="inlineStr">
        <is>
          <t>A 25059-2024</t>
        </is>
      </c>
      <c r="B2726" s="1" t="n">
        <v>45462.35787037037</v>
      </c>
      <c r="C2726" s="1" t="n">
        <v>45952</v>
      </c>
      <c r="D2726" t="inlineStr">
        <is>
          <t>ÖREBRO LÄN</t>
        </is>
      </c>
      <c r="E2726" t="inlineStr">
        <is>
          <t>HÄLLEFORS</t>
        </is>
      </c>
      <c r="F2726" t="inlineStr">
        <is>
          <t>Bergvik skog väst AB</t>
        </is>
      </c>
      <c r="G2726" t="n">
        <v>3</v>
      </c>
      <c r="H2726" t="n">
        <v>0</v>
      </c>
      <c r="I2726" t="n">
        <v>0</v>
      </c>
      <c r="J2726" t="n">
        <v>0</v>
      </c>
      <c r="K2726" t="n">
        <v>0</v>
      </c>
      <c r="L2726" t="n">
        <v>0</v>
      </c>
      <c r="M2726" t="n">
        <v>0</v>
      </c>
      <c r="N2726" t="n">
        <v>0</v>
      </c>
      <c r="O2726" t="n">
        <v>0</v>
      </c>
      <c r="P2726" t="n">
        <v>0</v>
      </c>
      <c r="Q2726" t="n">
        <v>0</v>
      </c>
      <c r="R2726" s="2" t="inlineStr"/>
    </row>
    <row r="2727" ht="15" customHeight="1">
      <c r="A2727" t="inlineStr">
        <is>
          <t>A 45978-2021</t>
        </is>
      </c>
      <c r="B2727" s="1" t="n">
        <v>44441.70047453704</v>
      </c>
      <c r="C2727" s="1" t="n">
        <v>45952</v>
      </c>
      <c r="D2727" t="inlineStr">
        <is>
          <t>ÖREBRO LÄN</t>
        </is>
      </c>
      <c r="E2727" t="inlineStr">
        <is>
          <t>LINDESBERG</t>
        </is>
      </c>
      <c r="G2727" t="n">
        <v>4.4</v>
      </c>
      <c r="H2727" t="n">
        <v>0</v>
      </c>
      <c r="I2727" t="n">
        <v>0</v>
      </c>
      <c r="J2727" t="n">
        <v>0</v>
      </c>
      <c r="K2727" t="n">
        <v>0</v>
      </c>
      <c r="L2727" t="n">
        <v>0</v>
      </c>
      <c r="M2727" t="n">
        <v>0</v>
      </c>
      <c r="N2727" t="n">
        <v>0</v>
      </c>
      <c r="O2727" t="n">
        <v>0</v>
      </c>
      <c r="P2727" t="n">
        <v>0</v>
      </c>
      <c r="Q2727" t="n">
        <v>0</v>
      </c>
      <c r="R2727" s="2" t="inlineStr"/>
    </row>
    <row r="2728" ht="15" customHeight="1">
      <c r="A2728" t="inlineStr">
        <is>
          <t>A 3735-2024</t>
        </is>
      </c>
      <c r="B2728" s="1" t="n">
        <v>45321</v>
      </c>
      <c r="C2728" s="1" t="n">
        <v>45952</v>
      </c>
      <c r="D2728" t="inlineStr">
        <is>
          <t>ÖREBRO LÄN</t>
        </is>
      </c>
      <c r="E2728" t="inlineStr">
        <is>
          <t>KARLSKOGA</t>
        </is>
      </c>
      <c r="F2728" t="inlineStr">
        <is>
          <t>Övriga Aktiebolag</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6766-2025</t>
        </is>
      </c>
      <c r="B2729" s="1" t="n">
        <v>45700.63533564815</v>
      </c>
      <c r="C2729" s="1" t="n">
        <v>45952</v>
      </c>
      <c r="D2729" t="inlineStr">
        <is>
          <t>ÖREBRO LÄN</t>
        </is>
      </c>
      <c r="E2729" t="inlineStr">
        <is>
          <t>HALLSBERG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15941-2023</t>
        </is>
      </c>
      <c r="B2730" s="1" t="n">
        <v>45022</v>
      </c>
      <c r="C2730" s="1" t="n">
        <v>45952</v>
      </c>
      <c r="D2730" t="inlineStr">
        <is>
          <t>ÖREBRO LÄN</t>
        </is>
      </c>
      <c r="E2730" t="inlineStr">
        <is>
          <t>HÄLLEFORS</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15976-2023</t>
        </is>
      </c>
      <c r="B2731" s="1" t="n">
        <v>45022</v>
      </c>
      <c r="C2731" s="1" t="n">
        <v>45952</v>
      </c>
      <c r="D2731" t="inlineStr">
        <is>
          <t>ÖREBRO LÄN</t>
        </is>
      </c>
      <c r="E2731" t="inlineStr">
        <is>
          <t>ASKERSUND</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48204-2025</t>
        </is>
      </c>
      <c r="B2732" s="1" t="n">
        <v>45933.48327546296</v>
      </c>
      <c r="C2732" s="1" t="n">
        <v>45952</v>
      </c>
      <c r="D2732" t="inlineStr">
        <is>
          <t>ÖREBRO LÄN</t>
        </is>
      </c>
      <c r="E2732" t="inlineStr">
        <is>
          <t>LJUSNARSBERG</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48229-2025</t>
        </is>
      </c>
      <c r="B2733" s="1" t="n">
        <v>45933.51694444445</v>
      </c>
      <c r="C2733" s="1" t="n">
        <v>45952</v>
      </c>
      <c r="D2733" t="inlineStr">
        <is>
          <t>ÖREBRO LÄN</t>
        </is>
      </c>
      <c r="E2733" t="inlineStr">
        <is>
          <t>NORA</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48253-2025</t>
        </is>
      </c>
      <c r="B2734" s="1" t="n">
        <v>45933.55381944445</v>
      </c>
      <c r="C2734" s="1" t="n">
        <v>45952</v>
      </c>
      <c r="D2734" t="inlineStr">
        <is>
          <t>ÖREBRO LÄN</t>
        </is>
      </c>
      <c r="E2734" t="inlineStr">
        <is>
          <t>ASKERSUND</t>
        </is>
      </c>
      <c r="F2734" t="inlineStr">
        <is>
          <t>Sveaskog</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28474-2023</t>
        </is>
      </c>
      <c r="B2735" s="1" t="n">
        <v>45103.42020833334</v>
      </c>
      <c r="C2735" s="1" t="n">
        <v>45952</v>
      </c>
      <c r="D2735" t="inlineStr">
        <is>
          <t>ÖREBRO LÄN</t>
        </is>
      </c>
      <c r="E2735" t="inlineStr">
        <is>
          <t>KARLSKOGA</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59641-2024</t>
        </is>
      </c>
      <c r="B2736" s="1" t="n">
        <v>45639.30934027778</v>
      </c>
      <c r="C2736" s="1" t="n">
        <v>45952</v>
      </c>
      <c r="D2736" t="inlineStr">
        <is>
          <t>ÖREBRO LÄN</t>
        </is>
      </c>
      <c r="E2736" t="inlineStr">
        <is>
          <t>LINDESBERG</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54393-2024</t>
        </is>
      </c>
      <c r="B2737" s="1" t="n">
        <v>45617.45731481481</v>
      </c>
      <c r="C2737" s="1" t="n">
        <v>45952</v>
      </c>
      <c r="D2737" t="inlineStr">
        <is>
          <t>ÖREBRO LÄN</t>
        </is>
      </c>
      <c r="E2737" t="inlineStr">
        <is>
          <t>ASKERSUND</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14544-2023</t>
        </is>
      </c>
      <c r="B2738" s="1" t="n">
        <v>45013</v>
      </c>
      <c r="C2738" s="1" t="n">
        <v>45952</v>
      </c>
      <c r="D2738" t="inlineStr">
        <is>
          <t>ÖREBRO LÄN</t>
        </is>
      </c>
      <c r="E2738" t="inlineStr">
        <is>
          <t>ÖREBRO</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23239-2025</t>
        </is>
      </c>
      <c r="B2739" s="1" t="n">
        <v>45791.49789351852</v>
      </c>
      <c r="C2739" s="1" t="n">
        <v>45952</v>
      </c>
      <c r="D2739" t="inlineStr">
        <is>
          <t>ÖREBRO LÄN</t>
        </is>
      </c>
      <c r="E2739" t="inlineStr">
        <is>
          <t>LAXÅ</t>
        </is>
      </c>
      <c r="F2739" t="inlineStr">
        <is>
          <t>Sveaskog</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23245-2025</t>
        </is>
      </c>
      <c r="B2740" s="1" t="n">
        <v>45791.50862268519</v>
      </c>
      <c r="C2740" s="1" t="n">
        <v>45952</v>
      </c>
      <c r="D2740" t="inlineStr">
        <is>
          <t>ÖREBRO LÄN</t>
        </is>
      </c>
      <c r="E2740" t="inlineStr">
        <is>
          <t>LINDESBERG</t>
        </is>
      </c>
      <c r="G2740" t="n">
        <v>6.8</v>
      </c>
      <c r="H2740" t="n">
        <v>0</v>
      </c>
      <c r="I2740" t="n">
        <v>0</v>
      </c>
      <c r="J2740" t="n">
        <v>0</v>
      </c>
      <c r="K2740" t="n">
        <v>0</v>
      </c>
      <c r="L2740" t="n">
        <v>0</v>
      </c>
      <c r="M2740" t="n">
        <v>0</v>
      </c>
      <c r="N2740" t="n">
        <v>0</v>
      </c>
      <c r="O2740" t="n">
        <v>0</v>
      </c>
      <c r="P2740" t="n">
        <v>0</v>
      </c>
      <c r="Q2740" t="n">
        <v>0</v>
      </c>
      <c r="R2740" s="2" t="inlineStr"/>
    </row>
    <row r="2741" ht="15" customHeight="1">
      <c r="A2741" t="inlineStr">
        <is>
          <t>A 28032-2023</t>
        </is>
      </c>
      <c r="B2741" s="1" t="n">
        <v>45099</v>
      </c>
      <c r="C2741" s="1" t="n">
        <v>45952</v>
      </c>
      <c r="D2741" t="inlineStr">
        <is>
          <t>ÖREBRO LÄN</t>
        </is>
      </c>
      <c r="E2741" t="inlineStr">
        <is>
          <t>LINDESBERG</t>
        </is>
      </c>
      <c r="F2741" t="inlineStr">
        <is>
          <t>Kyrkan</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60306-2024</t>
        </is>
      </c>
      <c r="B2742" s="1" t="n">
        <v>45643.34040509259</v>
      </c>
      <c r="C2742" s="1" t="n">
        <v>45952</v>
      </c>
      <c r="D2742" t="inlineStr">
        <is>
          <t>ÖREBRO LÄN</t>
        </is>
      </c>
      <c r="E2742" t="inlineStr">
        <is>
          <t>HÄLLEFORS</t>
        </is>
      </c>
      <c r="F2742" t="inlineStr">
        <is>
          <t>Bergvik skog väst AB</t>
        </is>
      </c>
      <c r="G2742" t="n">
        <v>4.5</v>
      </c>
      <c r="H2742" t="n">
        <v>0</v>
      </c>
      <c r="I2742" t="n">
        <v>0</v>
      </c>
      <c r="J2742" t="n">
        <v>0</v>
      </c>
      <c r="K2742" t="n">
        <v>0</v>
      </c>
      <c r="L2742" t="n">
        <v>0</v>
      </c>
      <c r="M2742" t="n">
        <v>0</v>
      </c>
      <c r="N2742" t="n">
        <v>0</v>
      </c>
      <c r="O2742" t="n">
        <v>0</v>
      </c>
      <c r="P2742" t="n">
        <v>0</v>
      </c>
      <c r="Q2742" t="n">
        <v>0</v>
      </c>
      <c r="R2742" s="2" t="inlineStr"/>
    </row>
    <row r="2743" ht="15" customHeight="1">
      <c r="A2743" t="inlineStr">
        <is>
          <t>A 71272-2021</t>
        </is>
      </c>
      <c r="B2743" s="1" t="n">
        <v>44539.61571759259</v>
      </c>
      <c r="C2743" s="1" t="n">
        <v>45952</v>
      </c>
      <c r="D2743" t="inlineStr">
        <is>
          <t>ÖREBRO LÄN</t>
        </is>
      </c>
      <c r="E2743" t="inlineStr">
        <is>
          <t>ÖREBRO</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25749-2021</t>
        </is>
      </c>
      <c r="B2744" s="1" t="n">
        <v>44343</v>
      </c>
      <c r="C2744" s="1" t="n">
        <v>45952</v>
      </c>
      <c r="D2744" t="inlineStr">
        <is>
          <t>ÖREBRO LÄN</t>
        </is>
      </c>
      <c r="E2744" t="inlineStr">
        <is>
          <t>ASKERSUND</t>
        </is>
      </c>
      <c r="G2744" t="n">
        <v>2.5</v>
      </c>
      <c r="H2744" t="n">
        <v>0</v>
      </c>
      <c r="I2744" t="n">
        <v>0</v>
      </c>
      <c r="J2744" t="n">
        <v>0</v>
      </c>
      <c r="K2744" t="n">
        <v>0</v>
      </c>
      <c r="L2744" t="n">
        <v>0</v>
      </c>
      <c r="M2744" t="n">
        <v>0</v>
      </c>
      <c r="N2744" t="n">
        <v>0</v>
      </c>
      <c r="O2744" t="n">
        <v>0</v>
      </c>
      <c r="P2744" t="n">
        <v>0</v>
      </c>
      <c r="Q2744" t="n">
        <v>0</v>
      </c>
      <c r="R2744" s="2" t="inlineStr"/>
    </row>
    <row r="2745" ht="15" customHeight="1">
      <c r="A2745" t="inlineStr">
        <is>
          <t>A 61271-2022</t>
        </is>
      </c>
      <c r="B2745" s="1" t="n">
        <v>44909</v>
      </c>
      <c r="C2745" s="1" t="n">
        <v>45952</v>
      </c>
      <c r="D2745" t="inlineStr">
        <is>
          <t>ÖREBRO LÄN</t>
        </is>
      </c>
      <c r="E2745" t="inlineStr">
        <is>
          <t>KARLSKOGA</t>
        </is>
      </c>
      <c r="F2745" t="inlineStr">
        <is>
          <t>Övriga Aktiebolag</t>
        </is>
      </c>
      <c r="G2745" t="n">
        <v>14.1</v>
      </c>
      <c r="H2745" t="n">
        <v>0</v>
      </c>
      <c r="I2745" t="n">
        <v>0</v>
      </c>
      <c r="J2745" t="n">
        <v>0</v>
      </c>
      <c r="K2745" t="n">
        <v>0</v>
      </c>
      <c r="L2745" t="n">
        <v>0</v>
      </c>
      <c r="M2745" t="n">
        <v>0</v>
      </c>
      <c r="N2745" t="n">
        <v>0</v>
      </c>
      <c r="O2745" t="n">
        <v>0</v>
      </c>
      <c r="P2745" t="n">
        <v>0</v>
      </c>
      <c r="Q2745" t="n">
        <v>0</v>
      </c>
      <c r="R2745" s="2" t="inlineStr"/>
    </row>
    <row r="2746" ht="15" customHeight="1">
      <c r="A2746" t="inlineStr">
        <is>
          <t>A 21935-2024</t>
        </is>
      </c>
      <c r="B2746" s="1" t="n">
        <v>45443.47237268519</v>
      </c>
      <c r="C2746" s="1" t="n">
        <v>45952</v>
      </c>
      <c r="D2746" t="inlineStr">
        <is>
          <t>ÖREBRO LÄN</t>
        </is>
      </c>
      <c r="E2746" t="inlineStr">
        <is>
          <t>DEGERFORS</t>
        </is>
      </c>
      <c r="F2746" t="inlineStr">
        <is>
          <t>Sveaskog</t>
        </is>
      </c>
      <c r="G2746" t="n">
        <v>1.8</v>
      </c>
      <c r="H2746" t="n">
        <v>0</v>
      </c>
      <c r="I2746" t="n">
        <v>0</v>
      </c>
      <c r="J2746" t="n">
        <v>0</v>
      </c>
      <c r="K2746" t="n">
        <v>0</v>
      </c>
      <c r="L2746" t="n">
        <v>0</v>
      </c>
      <c r="M2746" t="n">
        <v>0</v>
      </c>
      <c r="N2746" t="n">
        <v>0</v>
      </c>
      <c r="O2746" t="n">
        <v>0</v>
      </c>
      <c r="P2746" t="n">
        <v>0</v>
      </c>
      <c r="Q2746" t="n">
        <v>0</v>
      </c>
      <c r="R2746" s="2" t="inlineStr"/>
    </row>
    <row r="2747" ht="15" customHeight="1">
      <c r="A2747" t="inlineStr">
        <is>
          <t>A 1566-2025</t>
        </is>
      </c>
      <c r="B2747" s="1" t="n">
        <v>45670</v>
      </c>
      <c r="C2747" s="1" t="n">
        <v>45952</v>
      </c>
      <c r="D2747" t="inlineStr">
        <is>
          <t>ÖREBRO LÄN</t>
        </is>
      </c>
      <c r="E2747" t="inlineStr">
        <is>
          <t>NORA</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34336-2024</t>
        </is>
      </c>
      <c r="B2748" s="1" t="n">
        <v>45524.94774305556</v>
      </c>
      <c r="C2748" s="1" t="n">
        <v>45952</v>
      </c>
      <c r="D2748" t="inlineStr">
        <is>
          <t>ÖREBRO LÄN</t>
        </is>
      </c>
      <c r="E2748" t="inlineStr">
        <is>
          <t>ÖREBRO</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48780-2024</t>
        </is>
      </c>
      <c r="B2749" s="1" t="n">
        <v>45593</v>
      </c>
      <c r="C2749" s="1" t="n">
        <v>45952</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62608-2021</t>
        </is>
      </c>
      <c r="B2750" s="1" t="n">
        <v>44503</v>
      </c>
      <c r="C2750" s="1" t="n">
        <v>45952</v>
      </c>
      <c r="D2750" t="inlineStr">
        <is>
          <t>ÖREBRO LÄN</t>
        </is>
      </c>
      <c r="E2750" t="inlineStr">
        <is>
          <t>LINDESBERG</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39926-2025</t>
        </is>
      </c>
      <c r="B2751" s="1" t="n">
        <v>45891.68451388889</v>
      </c>
      <c r="C2751" s="1" t="n">
        <v>45952</v>
      </c>
      <c r="D2751" t="inlineStr">
        <is>
          <t>ÖREBRO LÄN</t>
        </is>
      </c>
      <c r="E2751" t="inlineStr">
        <is>
          <t>HÄLLEFORS</t>
        </is>
      </c>
      <c r="F2751" t="inlineStr">
        <is>
          <t>Bergvik skog väst AB</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63630-2021</t>
        </is>
      </c>
      <c r="B2752" s="1" t="n">
        <v>44496</v>
      </c>
      <c r="C2752" s="1" t="n">
        <v>45952</v>
      </c>
      <c r="D2752" t="inlineStr">
        <is>
          <t>ÖREBRO LÄN</t>
        </is>
      </c>
      <c r="E2752" t="inlineStr">
        <is>
          <t>LAXÅ</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18889-2024</t>
        </is>
      </c>
      <c r="B2753" s="1" t="n">
        <v>45427.26467592592</v>
      </c>
      <c r="C2753" s="1" t="n">
        <v>45952</v>
      </c>
      <c r="D2753" t="inlineStr">
        <is>
          <t>ÖREBRO LÄN</t>
        </is>
      </c>
      <c r="E2753" t="inlineStr">
        <is>
          <t>HÄLLEFORS</t>
        </is>
      </c>
      <c r="G2753" t="n">
        <v>8.5</v>
      </c>
      <c r="H2753" t="n">
        <v>0</v>
      </c>
      <c r="I2753" t="n">
        <v>0</v>
      </c>
      <c r="J2753" t="n">
        <v>0</v>
      </c>
      <c r="K2753" t="n">
        <v>0</v>
      </c>
      <c r="L2753" t="n">
        <v>0</v>
      </c>
      <c r="M2753" t="n">
        <v>0</v>
      </c>
      <c r="N2753" t="n">
        <v>0</v>
      </c>
      <c r="O2753" t="n">
        <v>0</v>
      </c>
      <c r="P2753" t="n">
        <v>0</v>
      </c>
      <c r="Q2753" t="n">
        <v>0</v>
      </c>
      <c r="R2753" s="2" t="inlineStr"/>
    </row>
    <row r="2754" ht="15" customHeight="1">
      <c r="A2754" t="inlineStr">
        <is>
          <t>A 18891-2024</t>
        </is>
      </c>
      <c r="B2754" s="1" t="n">
        <v>45427.32009259259</v>
      </c>
      <c r="C2754" s="1" t="n">
        <v>45952</v>
      </c>
      <c r="D2754" t="inlineStr">
        <is>
          <t>ÖREBRO LÄN</t>
        </is>
      </c>
      <c r="E2754" t="inlineStr">
        <is>
          <t>HALLSBERG</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47856-2025</t>
        </is>
      </c>
      <c r="B2755" s="1" t="n">
        <v>45932.40252314815</v>
      </c>
      <c r="C2755" s="1" t="n">
        <v>45952</v>
      </c>
      <c r="D2755" t="inlineStr">
        <is>
          <t>ÖREBRO LÄN</t>
        </is>
      </c>
      <c r="E2755" t="inlineStr">
        <is>
          <t>HÄLLEFORS</t>
        </is>
      </c>
      <c r="F2755" t="inlineStr">
        <is>
          <t>Bergvik skog väst AB</t>
        </is>
      </c>
      <c r="G2755" t="n">
        <v>8.199999999999999</v>
      </c>
      <c r="H2755" t="n">
        <v>0</v>
      </c>
      <c r="I2755" t="n">
        <v>0</v>
      </c>
      <c r="J2755" t="n">
        <v>0</v>
      </c>
      <c r="K2755" t="n">
        <v>0</v>
      </c>
      <c r="L2755" t="n">
        <v>0</v>
      </c>
      <c r="M2755" t="n">
        <v>0</v>
      </c>
      <c r="N2755" t="n">
        <v>0</v>
      </c>
      <c r="O2755" t="n">
        <v>0</v>
      </c>
      <c r="P2755" t="n">
        <v>0</v>
      </c>
      <c r="Q2755" t="n">
        <v>0</v>
      </c>
      <c r="R2755" s="2" t="inlineStr"/>
    </row>
    <row r="2756" ht="15" customHeight="1">
      <c r="A2756" t="inlineStr">
        <is>
          <t>A 64172-2023</t>
        </is>
      </c>
      <c r="B2756" s="1" t="n">
        <v>45279</v>
      </c>
      <c r="C2756" s="1" t="n">
        <v>45952</v>
      </c>
      <c r="D2756" t="inlineStr">
        <is>
          <t>ÖREBRO LÄN</t>
        </is>
      </c>
      <c r="E2756" t="inlineStr">
        <is>
          <t>HALLSBERG</t>
        </is>
      </c>
      <c r="F2756" t="inlineStr">
        <is>
          <t>Övriga Aktiebolag</t>
        </is>
      </c>
      <c r="G2756" t="n">
        <v>6.3</v>
      </c>
      <c r="H2756" t="n">
        <v>0</v>
      </c>
      <c r="I2756" t="n">
        <v>0</v>
      </c>
      <c r="J2756" t="n">
        <v>0</v>
      </c>
      <c r="K2756" t="n">
        <v>0</v>
      </c>
      <c r="L2756" t="n">
        <v>0</v>
      </c>
      <c r="M2756" t="n">
        <v>0</v>
      </c>
      <c r="N2756" t="n">
        <v>0</v>
      </c>
      <c r="O2756" t="n">
        <v>0</v>
      </c>
      <c r="P2756" t="n">
        <v>0</v>
      </c>
      <c r="Q2756" t="n">
        <v>0</v>
      </c>
      <c r="R2756" s="2" t="inlineStr"/>
    </row>
    <row r="2757" ht="15" customHeight="1">
      <c r="A2757" t="inlineStr">
        <is>
          <t>A 35151-2023</t>
        </is>
      </c>
      <c r="B2757" s="1" t="n">
        <v>45145</v>
      </c>
      <c r="C2757" s="1" t="n">
        <v>45952</v>
      </c>
      <c r="D2757" t="inlineStr">
        <is>
          <t>ÖREBRO LÄN</t>
        </is>
      </c>
      <c r="E2757" t="inlineStr">
        <is>
          <t>LJUSNARSBERG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48392-2025</t>
        </is>
      </c>
      <c r="B2758" s="1" t="n">
        <v>45933.90063657407</v>
      </c>
      <c r="C2758" s="1" t="n">
        <v>45952</v>
      </c>
      <c r="D2758" t="inlineStr">
        <is>
          <t>ÖREBRO LÄN</t>
        </is>
      </c>
      <c r="E2758" t="inlineStr">
        <is>
          <t>ASKERSUND</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9295-2025</t>
        </is>
      </c>
      <c r="B2759" s="1" t="n">
        <v>45714</v>
      </c>
      <c r="C2759" s="1" t="n">
        <v>45952</v>
      </c>
      <c r="D2759" t="inlineStr">
        <is>
          <t>ÖREBRO LÄN</t>
        </is>
      </c>
      <c r="E2759" t="inlineStr">
        <is>
          <t>NORA</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11218-2025</t>
        </is>
      </c>
      <c r="B2760" s="1" t="n">
        <v>45726.33763888889</v>
      </c>
      <c r="C2760" s="1" t="n">
        <v>45952</v>
      </c>
      <c r="D2760" t="inlineStr">
        <is>
          <t>ÖREBRO LÄN</t>
        </is>
      </c>
      <c r="E2760" t="inlineStr">
        <is>
          <t>LINDESBERG</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11220-2025</t>
        </is>
      </c>
      <c r="B2761" s="1" t="n">
        <v>45726.34090277777</v>
      </c>
      <c r="C2761" s="1" t="n">
        <v>45952</v>
      </c>
      <c r="D2761" t="inlineStr">
        <is>
          <t>ÖREBRO LÄN</t>
        </is>
      </c>
      <c r="E2761" t="inlineStr">
        <is>
          <t>LINDESBERG</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73860-2021</t>
        </is>
      </c>
      <c r="B2762" s="1" t="n">
        <v>44553.35407407407</v>
      </c>
      <c r="C2762" s="1" t="n">
        <v>45952</v>
      </c>
      <c r="D2762" t="inlineStr">
        <is>
          <t>ÖREBRO LÄN</t>
        </is>
      </c>
      <c r="E2762" t="inlineStr">
        <is>
          <t>LINDESBERG</t>
        </is>
      </c>
      <c r="G2762" t="n">
        <v>12.7</v>
      </c>
      <c r="H2762" t="n">
        <v>0</v>
      </c>
      <c r="I2762" t="n">
        <v>0</v>
      </c>
      <c r="J2762" t="n">
        <v>0</v>
      </c>
      <c r="K2762" t="n">
        <v>0</v>
      </c>
      <c r="L2762" t="n">
        <v>0</v>
      </c>
      <c r="M2762" t="n">
        <v>0</v>
      </c>
      <c r="N2762" t="n">
        <v>0</v>
      </c>
      <c r="O2762" t="n">
        <v>0</v>
      </c>
      <c r="P2762" t="n">
        <v>0</v>
      </c>
      <c r="Q2762" t="n">
        <v>0</v>
      </c>
      <c r="R2762" s="2" t="inlineStr"/>
    </row>
    <row r="2763" ht="15" customHeight="1">
      <c r="A2763" t="inlineStr">
        <is>
          <t>A 47854-2025</t>
        </is>
      </c>
      <c r="B2763" s="1" t="n">
        <v>45932.39532407407</v>
      </c>
      <c r="C2763" s="1" t="n">
        <v>45952</v>
      </c>
      <c r="D2763" t="inlineStr">
        <is>
          <t>ÖREBRO LÄN</t>
        </is>
      </c>
      <c r="E2763" t="inlineStr">
        <is>
          <t>HÄLLEFORS</t>
        </is>
      </c>
      <c r="F2763" t="inlineStr">
        <is>
          <t>Bergvik skog väst AB</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41595-2022</t>
        </is>
      </c>
      <c r="B2764" s="1" t="n">
        <v>44827.45902777778</v>
      </c>
      <c r="C2764" s="1" t="n">
        <v>45952</v>
      </c>
      <c r="D2764" t="inlineStr">
        <is>
          <t>ÖREBRO LÄN</t>
        </is>
      </c>
      <c r="E2764" t="inlineStr">
        <is>
          <t>HALLSBERG</t>
        </is>
      </c>
      <c r="F2764" t="inlineStr">
        <is>
          <t>Kommuner</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42707-2023</t>
        </is>
      </c>
      <c r="B2765" s="1" t="n">
        <v>45181</v>
      </c>
      <c r="C2765" s="1" t="n">
        <v>45952</v>
      </c>
      <c r="D2765" t="inlineStr">
        <is>
          <t>ÖREBRO LÄN</t>
        </is>
      </c>
      <c r="E2765" t="inlineStr">
        <is>
          <t>LINDESBERG</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18987-2025</t>
        </is>
      </c>
      <c r="B2766" s="1" t="n">
        <v>45764.56091435185</v>
      </c>
      <c r="C2766" s="1" t="n">
        <v>45952</v>
      </c>
      <c r="D2766" t="inlineStr">
        <is>
          <t>ÖREBRO LÄN</t>
        </is>
      </c>
      <c r="E2766" t="inlineStr">
        <is>
          <t>HÄLLEFORS</t>
        </is>
      </c>
      <c r="F2766" t="inlineStr">
        <is>
          <t>Bergvik skog väst AB</t>
        </is>
      </c>
      <c r="G2766" t="n">
        <v>2.8</v>
      </c>
      <c r="H2766" t="n">
        <v>0</v>
      </c>
      <c r="I2766" t="n">
        <v>0</v>
      </c>
      <c r="J2766" t="n">
        <v>0</v>
      </c>
      <c r="K2766" t="n">
        <v>0</v>
      </c>
      <c r="L2766" t="n">
        <v>0</v>
      </c>
      <c r="M2766" t="n">
        <v>0</v>
      </c>
      <c r="N2766" t="n">
        <v>0</v>
      </c>
      <c r="O2766" t="n">
        <v>0</v>
      </c>
      <c r="P2766" t="n">
        <v>0</v>
      </c>
      <c r="Q2766" t="n">
        <v>0</v>
      </c>
      <c r="R2766" s="2" t="inlineStr"/>
    </row>
    <row r="2767" ht="15" customHeight="1">
      <c r="A2767" t="inlineStr">
        <is>
          <t>A 48183-2025</t>
        </is>
      </c>
      <c r="B2767" s="1" t="n">
        <v>45933.45418981482</v>
      </c>
      <c r="C2767" s="1" t="n">
        <v>45952</v>
      </c>
      <c r="D2767" t="inlineStr">
        <is>
          <t>ÖREBRO LÄN</t>
        </is>
      </c>
      <c r="E2767" t="inlineStr">
        <is>
          <t>HALLSBERG</t>
        </is>
      </c>
      <c r="F2767" t="inlineStr">
        <is>
          <t>Sveaskog</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53247-2024</t>
        </is>
      </c>
      <c r="B2768" s="1" t="n">
        <v>45614.06451388889</v>
      </c>
      <c r="C2768" s="1" t="n">
        <v>45952</v>
      </c>
      <c r="D2768" t="inlineStr">
        <is>
          <t>ÖREBRO LÄN</t>
        </is>
      </c>
      <c r="E2768" t="inlineStr">
        <is>
          <t>HALLSBERG</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52434-2024</t>
        </is>
      </c>
      <c r="B2769" s="1" t="n">
        <v>45609.47806712963</v>
      </c>
      <c r="C2769" s="1" t="n">
        <v>45952</v>
      </c>
      <c r="D2769" t="inlineStr">
        <is>
          <t>ÖREBRO LÄN</t>
        </is>
      </c>
      <c r="E2769" t="inlineStr">
        <is>
          <t>ASKERSUND</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15555-2025</t>
        </is>
      </c>
      <c r="B2770" s="1" t="n">
        <v>45747.67768518518</v>
      </c>
      <c r="C2770" s="1" t="n">
        <v>45952</v>
      </c>
      <c r="D2770" t="inlineStr">
        <is>
          <t>ÖREBRO LÄN</t>
        </is>
      </c>
      <c r="E2770" t="inlineStr">
        <is>
          <t>ÖREBRO</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48168-2024</t>
        </is>
      </c>
      <c r="B2771" s="1" t="n">
        <v>45589.74410879629</v>
      </c>
      <c r="C2771" s="1" t="n">
        <v>45952</v>
      </c>
      <c r="D2771" t="inlineStr">
        <is>
          <t>ÖREBRO LÄN</t>
        </is>
      </c>
      <c r="E2771" t="inlineStr">
        <is>
          <t>KARLSKOGA</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36031-2024</t>
        </is>
      </c>
      <c r="B2772" s="1" t="n">
        <v>45533.58539351852</v>
      </c>
      <c r="C2772" s="1" t="n">
        <v>45952</v>
      </c>
      <c r="D2772" t="inlineStr">
        <is>
          <t>ÖREBRO LÄN</t>
        </is>
      </c>
      <c r="E2772" t="inlineStr">
        <is>
          <t>ASKERSUND</t>
        </is>
      </c>
      <c r="F2772" t="inlineStr">
        <is>
          <t>Sveaskog</t>
        </is>
      </c>
      <c r="G2772" t="n">
        <v>3.1</v>
      </c>
      <c r="H2772" t="n">
        <v>0</v>
      </c>
      <c r="I2772" t="n">
        <v>0</v>
      </c>
      <c r="J2772" t="n">
        <v>0</v>
      </c>
      <c r="K2772" t="n">
        <v>0</v>
      </c>
      <c r="L2772" t="n">
        <v>0</v>
      </c>
      <c r="M2772" t="n">
        <v>0</v>
      </c>
      <c r="N2772" t="n">
        <v>0</v>
      </c>
      <c r="O2772" t="n">
        <v>0</v>
      </c>
      <c r="P2772" t="n">
        <v>0</v>
      </c>
      <c r="Q2772" t="n">
        <v>0</v>
      </c>
      <c r="R2772" s="2" t="inlineStr"/>
    </row>
    <row r="2773" ht="15" customHeight="1">
      <c r="A2773" t="inlineStr">
        <is>
          <t>A 61279-2024</t>
        </is>
      </c>
      <c r="B2773" s="1" t="n">
        <v>45645</v>
      </c>
      <c r="C2773" s="1" t="n">
        <v>45952</v>
      </c>
      <c r="D2773" t="inlineStr">
        <is>
          <t>ÖREBRO LÄN</t>
        </is>
      </c>
      <c r="E2773" t="inlineStr">
        <is>
          <t>ÖREBRO</t>
        </is>
      </c>
      <c r="G2773" t="n">
        <v>0.7</v>
      </c>
      <c r="H2773" t="n">
        <v>0</v>
      </c>
      <c r="I2773" t="n">
        <v>0</v>
      </c>
      <c r="J2773" t="n">
        <v>0</v>
      </c>
      <c r="K2773" t="n">
        <v>0</v>
      </c>
      <c r="L2773" t="n">
        <v>0</v>
      </c>
      <c r="M2773" t="n">
        <v>0</v>
      </c>
      <c r="N2773" t="n">
        <v>0</v>
      </c>
      <c r="O2773" t="n">
        <v>0</v>
      </c>
      <c r="P2773" t="n">
        <v>0</v>
      </c>
      <c r="Q2773" t="n">
        <v>0</v>
      </c>
      <c r="R2773" s="2" t="inlineStr"/>
    </row>
    <row r="2774" ht="15" customHeight="1">
      <c r="A2774" t="inlineStr">
        <is>
          <t>A 17779-2024</t>
        </is>
      </c>
      <c r="B2774" s="1" t="n">
        <v>45418.66800925926</v>
      </c>
      <c r="C2774" s="1" t="n">
        <v>45952</v>
      </c>
      <c r="D2774" t="inlineStr">
        <is>
          <t>ÖREBRO LÄN</t>
        </is>
      </c>
      <c r="E2774" t="inlineStr">
        <is>
          <t>LINDESBERG</t>
        </is>
      </c>
      <c r="G2774" t="n">
        <v>3.7</v>
      </c>
      <c r="H2774" t="n">
        <v>0</v>
      </c>
      <c r="I2774" t="n">
        <v>0</v>
      </c>
      <c r="J2774" t="n">
        <v>0</v>
      </c>
      <c r="K2774" t="n">
        <v>0</v>
      </c>
      <c r="L2774" t="n">
        <v>0</v>
      </c>
      <c r="M2774" t="n">
        <v>0</v>
      </c>
      <c r="N2774" t="n">
        <v>0</v>
      </c>
      <c r="O2774" t="n">
        <v>0</v>
      </c>
      <c r="P2774" t="n">
        <v>0</v>
      </c>
      <c r="Q2774" t="n">
        <v>0</v>
      </c>
      <c r="R2774" s="2" t="inlineStr"/>
    </row>
    <row r="2775" ht="15" customHeight="1">
      <c r="A2775" t="inlineStr">
        <is>
          <t>A 38790-2024</t>
        </is>
      </c>
      <c r="B2775" s="1" t="n">
        <v>45547.48450231482</v>
      </c>
      <c r="C2775" s="1" t="n">
        <v>45952</v>
      </c>
      <c r="D2775" t="inlineStr">
        <is>
          <t>ÖREBRO LÄN</t>
        </is>
      </c>
      <c r="E2775" t="inlineStr">
        <is>
          <t>ÖREBRO</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37012-2024</t>
        </is>
      </c>
      <c r="B2776" s="1" t="n">
        <v>45539</v>
      </c>
      <c r="C2776" s="1" t="n">
        <v>45952</v>
      </c>
      <c r="D2776" t="inlineStr">
        <is>
          <t>ÖREBRO LÄN</t>
        </is>
      </c>
      <c r="E2776" t="inlineStr">
        <is>
          <t>ÖREBRO</t>
        </is>
      </c>
      <c r="G2776" t="n">
        <v>4.1</v>
      </c>
      <c r="H2776" t="n">
        <v>0</v>
      </c>
      <c r="I2776" t="n">
        <v>0</v>
      </c>
      <c r="J2776" t="n">
        <v>0</v>
      </c>
      <c r="K2776" t="n">
        <v>0</v>
      </c>
      <c r="L2776" t="n">
        <v>0</v>
      </c>
      <c r="M2776" t="n">
        <v>0</v>
      </c>
      <c r="N2776" t="n">
        <v>0</v>
      </c>
      <c r="O2776" t="n">
        <v>0</v>
      </c>
      <c r="P2776" t="n">
        <v>0</v>
      </c>
      <c r="Q2776" t="n">
        <v>0</v>
      </c>
      <c r="R2776" s="2" t="inlineStr"/>
    </row>
    <row r="2777" ht="15" customHeight="1">
      <c r="A2777" t="inlineStr">
        <is>
          <t>A 37020-2024</t>
        </is>
      </c>
      <c r="B2777" s="1" t="n">
        <v>45539.38059027777</v>
      </c>
      <c r="C2777" s="1" t="n">
        <v>45952</v>
      </c>
      <c r="D2777" t="inlineStr">
        <is>
          <t>ÖREBRO LÄN</t>
        </is>
      </c>
      <c r="E2777" t="inlineStr">
        <is>
          <t>ÖREBRO</t>
        </is>
      </c>
      <c r="F2777" t="inlineStr">
        <is>
          <t>Sveaskog</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43578-2024</t>
        </is>
      </c>
      <c r="B2778" s="1" t="n">
        <v>45569.41788194444</v>
      </c>
      <c r="C2778" s="1" t="n">
        <v>45952</v>
      </c>
      <c r="D2778" t="inlineStr">
        <is>
          <t>ÖREBRO LÄN</t>
        </is>
      </c>
      <c r="E2778" t="inlineStr">
        <is>
          <t>ASKERSUND</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45952</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4723-2023</t>
        </is>
      </c>
      <c r="B2780" s="1" t="n">
        <v>44957.51490740741</v>
      </c>
      <c r="C2780" s="1" t="n">
        <v>45952</v>
      </c>
      <c r="D2780" t="inlineStr">
        <is>
          <t>ÖREBRO LÄN</t>
        </is>
      </c>
      <c r="E2780" t="inlineStr">
        <is>
          <t>NORA</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50104-2024</t>
        </is>
      </c>
      <c r="B2781" s="1" t="n">
        <v>45600.40037037037</v>
      </c>
      <c r="C2781" s="1" t="n">
        <v>45952</v>
      </c>
      <c r="D2781" t="inlineStr">
        <is>
          <t>ÖREBRO LÄN</t>
        </is>
      </c>
      <c r="E2781" t="inlineStr">
        <is>
          <t>LEKEBERG</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23224-2025</t>
        </is>
      </c>
      <c r="B2782" s="1" t="n">
        <v>45791.48628472222</v>
      </c>
      <c r="C2782" s="1" t="n">
        <v>45952</v>
      </c>
      <c r="D2782" t="inlineStr">
        <is>
          <t>ÖREBRO LÄN</t>
        </is>
      </c>
      <c r="E2782" t="inlineStr">
        <is>
          <t>LAXÅ</t>
        </is>
      </c>
      <c r="F2782" t="inlineStr">
        <is>
          <t>Sveaskog</t>
        </is>
      </c>
      <c r="G2782" t="n">
        <v>13.1</v>
      </c>
      <c r="H2782" t="n">
        <v>0</v>
      </c>
      <c r="I2782" t="n">
        <v>0</v>
      </c>
      <c r="J2782" t="n">
        <v>0</v>
      </c>
      <c r="K2782" t="n">
        <v>0</v>
      </c>
      <c r="L2782" t="n">
        <v>0</v>
      </c>
      <c r="M2782" t="n">
        <v>0</v>
      </c>
      <c r="N2782" t="n">
        <v>0</v>
      </c>
      <c r="O2782" t="n">
        <v>0</v>
      </c>
      <c r="P2782" t="n">
        <v>0</v>
      </c>
      <c r="Q2782" t="n">
        <v>0</v>
      </c>
      <c r="R2782" s="2" t="inlineStr"/>
    </row>
    <row r="2783" ht="15" customHeight="1">
      <c r="A2783" t="inlineStr">
        <is>
          <t>A 49094-2024</t>
        </is>
      </c>
      <c r="B2783" s="1" t="n">
        <v>45594.63747685185</v>
      </c>
      <c r="C2783" s="1" t="n">
        <v>45952</v>
      </c>
      <c r="D2783" t="inlineStr">
        <is>
          <t>ÖREBRO LÄN</t>
        </is>
      </c>
      <c r="E2783" t="inlineStr">
        <is>
          <t>LINDESBERG</t>
        </is>
      </c>
      <c r="G2783" t="n">
        <v>3.8</v>
      </c>
      <c r="H2783" t="n">
        <v>0</v>
      </c>
      <c r="I2783" t="n">
        <v>0</v>
      </c>
      <c r="J2783" t="n">
        <v>0</v>
      </c>
      <c r="K2783" t="n">
        <v>0</v>
      </c>
      <c r="L2783" t="n">
        <v>0</v>
      </c>
      <c r="M2783" t="n">
        <v>0</v>
      </c>
      <c r="N2783" t="n">
        <v>0</v>
      </c>
      <c r="O2783" t="n">
        <v>0</v>
      </c>
      <c r="P2783" t="n">
        <v>0</v>
      </c>
      <c r="Q2783" t="n">
        <v>0</v>
      </c>
      <c r="R2783" s="2" t="inlineStr"/>
    </row>
    <row r="2784" ht="15" customHeight="1">
      <c r="A2784" t="inlineStr">
        <is>
          <t>A 37616-2023</t>
        </is>
      </c>
      <c r="B2784" s="1" t="n">
        <v>45159.44525462963</v>
      </c>
      <c r="C2784" s="1" t="n">
        <v>45952</v>
      </c>
      <c r="D2784" t="inlineStr">
        <is>
          <t>ÖREBRO LÄN</t>
        </is>
      </c>
      <c r="E2784" t="inlineStr">
        <is>
          <t>LINDESBERG</t>
        </is>
      </c>
      <c r="G2784" t="n">
        <v>5.3</v>
      </c>
      <c r="H2784" t="n">
        <v>0</v>
      </c>
      <c r="I2784" t="n">
        <v>0</v>
      </c>
      <c r="J2784" t="n">
        <v>0</v>
      </c>
      <c r="K2784" t="n">
        <v>0</v>
      </c>
      <c r="L2784" t="n">
        <v>0</v>
      </c>
      <c r="M2784" t="n">
        <v>0</v>
      </c>
      <c r="N2784" t="n">
        <v>0</v>
      </c>
      <c r="O2784" t="n">
        <v>0</v>
      </c>
      <c r="P2784" t="n">
        <v>0</v>
      </c>
      <c r="Q2784" t="n">
        <v>0</v>
      </c>
      <c r="R2784" s="2" t="inlineStr"/>
    </row>
    <row r="2785" ht="15" customHeight="1">
      <c r="A2785" t="inlineStr">
        <is>
          <t>A 54793-2024</t>
        </is>
      </c>
      <c r="B2785" s="1" t="n">
        <v>45618</v>
      </c>
      <c r="C2785" s="1" t="n">
        <v>45952</v>
      </c>
      <c r="D2785" t="inlineStr">
        <is>
          <t>ÖREBRO LÄN</t>
        </is>
      </c>
      <c r="E2785" t="inlineStr">
        <is>
          <t>LINDESBERG</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50766-2024</t>
        </is>
      </c>
      <c r="B2786" s="1" t="n">
        <v>45602.43986111111</v>
      </c>
      <c r="C2786" s="1" t="n">
        <v>45952</v>
      </c>
      <c r="D2786" t="inlineStr">
        <is>
          <t>ÖREBRO LÄN</t>
        </is>
      </c>
      <c r="E2786" t="inlineStr">
        <is>
          <t>DEGERFORS</t>
        </is>
      </c>
      <c r="F2786" t="inlineStr">
        <is>
          <t>Sveaskog</t>
        </is>
      </c>
      <c r="G2786" t="n">
        <v>2.1</v>
      </c>
      <c r="H2786" t="n">
        <v>0</v>
      </c>
      <c r="I2786" t="n">
        <v>0</v>
      </c>
      <c r="J2786" t="n">
        <v>0</v>
      </c>
      <c r="K2786" t="n">
        <v>0</v>
      </c>
      <c r="L2786" t="n">
        <v>0</v>
      </c>
      <c r="M2786" t="n">
        <v>0</v>
      </c>
      <c r="N2786" t="n">
        <v>0</v>
      </c>
      <c r="O2786" t="n">
        <v>0</v>
      </c>
      <c r="P2786" t="n">
        <v>0</v>
      </c>
      <c r="Q2786" t="n">
        <v>0</v>
      </c>
      <c r="R2786" s="2" t="inlineStr"/>
    </row>
    <row r="2787" ht="15" customHeight="1">
      <c r="A2787" t="inlineStr">
        <is>
          <t>A 39908-2025</t>
        </is>
      </c>
      <c r="B2787" s="1" t="n">
        <v>45891</v>
      </c>
      <c r="C2787" s="1" t="n">
        <v>45952</v>
      </c>
      <c r="D2787" t="inlineStr">
        <is>
          <t>ÖREBRO LÄN</t>
        </is>
      </c>
      <c r="E2787" t="inlineStr">
        <is>
          <t>ASKERSUND</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39920-2025</t>
        </is>
      </c>
      <c r="B2788" s="1" t="n">
        <v>45891.66709490741</v>
      </c>
      <c r="C2788" s="1" t="n">
        <v>45952</v>
      </c>
      <c r="D2788" t="inlineStr">
        <is>
          <t>ÖREBRO LÄN</t>
        </is>
      </c>
      <c r="E2788" t="inlineStr">
        <is>
          <t>HALLSBERG</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6313-2025</t>
        </is>
      </c>
      <c r="B2789" s="1" t="n">
        <v>45698</v>
      </c>
      <c r="C2789" s="1" t="n">
        <v>45952</v>
      </c>
      <c r="D2789" t="inlineStr">
        <is>
          <t>ÖREBRO LÄN</t>
        </is>
      </c>
      <c r="E2789" t="inlineStr">
        <is>
          <t>LJUSNARSBERG</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8367-2025</t>
        </is>
      </c>
      <c r="B2790" s="1" t="n">
        <v>45708.95491898148</v>
      </c>
      <c r="C2790" s="1" t="n">
        <v>45952</v>
      </c>
      <c r="D2790" t="inlineStr">
        <is>
          <t>ÖREBRO LÄN</t>
        </is>
      </c>
      <c r="E2790" t="inlineStr">
        <is>
          <t>ASKERSUND</t>
        </is>
      </c>
      <c r="G2790" t="n">
        <v>2.2</v>
      </c>
      <c r="H2790" t="n">
        <v>0</v>
      </c>
      <c r="I2790" t="n">
        <v>0</v>
      </c>
      <c r="J2790" t="n">
        <v>0</v>
      </c>
      <c r="K2790" t="n">
        <v>0</v>
      </c>
      <c r="L2790" t="n">
        <v>0</v>
      </c>
      <c r="M2790" t="n">
        <v>0</v>
      </c>
      <c r="N2790" t="n">
        <v>0</v>
      </c>
      <c r="O2790" t="n">
        <v>0</v>
      </c>
      <c r="P2790" t="n">
        <v>0</v>
      </c>
      <c r="Q2790" t="n">
        <v>0</v>
      </c>
      <c r="R2790" s="2" t="inlineStr"/>
    </row>
    <row r="2791" ht="15" customHeight="1">
      <c r="A2791" t="inlineStr">
        <is>
          <t>A 39837-2025</t>
        </is>
      </c>
      <c r="B2791" s="1" t="n">
        <v>45891.56561342593</v>
      </c>
      <c r="C2791" s="1" t="n">
        <v>45952</v>
      </c>
      <c r="D2791" t="inlineStr">
        <is>
          <t>ÖREBRO LÄN</t>
        </is>
      </c>
      <c r="E2791" t="inlineStr">
        <is>
          <t>NORA</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39852-2025</t>
        </is>
      </c>
      <c r="B2792" s="1" t="n">
        <v>45891.58693287037</v>
      </c>
      <c r="C2792" s="1" t="n">
        <v>45952</v>
      </c>
      <c r="D2792" t="inlineStr">
        <is>
          <t>ÖREBRO LÄN</t>
        </is>
      </c>
      <c r="E2792" t="inlineStr">
        <is>
          <t>LAXÅ</t>
        </is>
      </c>
      <c r="F2792" t="inlineStr">
        <is>
          <t>Sveaskog</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39855-2025</t>
        </is>
      </c>
      <c r="B2793" s="1" t="n">
        <v>45891.58831018519</v>
      </c>
      <c r="C2793" s="1" t="n">
        <v>45952</v>
      </c>
      <c r="D2793" t="inlineStr">
        <is>
          <t>ÖREBRO LÄN</t>
        </is>
      </c>
      <c r="E2793" t="inlineStr">
        <is>
          <t>LAXÅ</t>
        </is>
      </c>
      <c r="F2793" t="inlineStr">
        <is>
          <t>Sveaskog</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3803-2023</t>
        </is>
      </c>
      <c r="B2794" s="1" t="n">
        <v>44951.5830324074</v>
      </c>
      <c r="C2794" s="1" t="n">
        <v>45952</v>
      </c>
      <c r="D2794" t="inlineStr">
        <is>
          <t>ÖREBRO LÄN</t>
        </is>
      </c>
      <c r="E2794" t="inlineStr">
        <is>
          <t>LINDESBERG</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19045-2023</t>
        </is>
      </c>
      <c r="B2795" s="1" t="n">
        <v>45047</v>
      </c>
      <c r="C2795" s="1" t="n">
        <v>45952</v>
      </c>
      <c r="D2795" t="inlineStr">
        <is>
          <t>ÖREBRO LÄN</t>
        </is>
      </c>
      <c r="E2795" t="inlineStr">
        <is>
          <t>LEKEBERG</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58091-2022</t>
        </is>
      </c>
      <c r="B2796" s="1" t="n">
        <v>44900</v>
      </c>
      <c r="C2796" s="1" t="n">
        <v>45952</v>
      </c>
      <c r="D2796" t="inlineStr">
        <is>
          <t>ÖREBRO LÄN</t>
        </is>
      </c>
      <c r="E2796" t="inlineStr">
        <is>
          <t>KARLSKOGA</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54604-2024</t>
        </is>
      </c>
      <c r="B2797" s="1" t="n">
        <v>45617.683125</v>
      </c>
      <c r="C2797" s="1" t="n">
        <v>45952</v>
      </c>
      <c r="D2797" t="inlineStr">
        <is>
          <t>ÖREBRO LÄN</t>
        </is>
      </c>
      <c r="E2797" t="inlineStr">
        <is>
          <t>NORA</t>
        </is>
      </c>
      <c r="G2797" t="n">
        <v>1.8</v>
      </c>
      <c r="H2797" t="n">
        <v>0</v>
      </c>
      <c r="I2797" t="n">
        <v>0</v>
      </c>
      <c r="J2797" t="n">
        <v>0</v>
      </c>
      <c r="K2797" t="n">
        <v>0</v>
      </c>
      <c r="L2797" t="n">
        <v>0</v>
      </c>
      <c r="M2797" t="n">
        <v>0</v>
      </c>
      <c r="N2797" t="n">
        <v>0</v>
      </c>
      <c r="O2797" t="n">
        <v>0</v>
      </c>
      <c r="P2797" t="n">
        <v>0</v>
      </c>
      <c r="Q2797" t="n">
        <v>0</v>
      </c>
      <c r="R2797" s="2" t="inlineStr"/>
    </row>
    <row r="2798" ht="15" customHeight="1">
      <c r="A2798" t="inlineStr">
        <is>
          <t>A 30316-2024</t>
        </is>
      </c>
      <c r="B2798" s="1" t="n">
        <v>45490</v>
      </c>
      <c r="C2798" s="1" t="n">
        <v>45952</v>
      </c>
      <c r="D2798" t="inlineStr">
        <is>
          <t>ÖREBRO LÄN</t>
        </is>
      </c>
      <c r="E2798" t="inlineStr">
        <is>
          <t>ÖREBRO</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15254-2025</t>
        </is>
      </c>
      <c r="B2799" s="1" t="n">
        <v>45744.64983796296</v>
      </c>
      <c r="C2799" s="1" t="n">
        <v>45952</v>
      </c>
      <c r="D2799" t="inlineStr">
        <is>
          <t>ÖREBRO LÄN</t>
        </is>
      </c>
      <c r="E2799" t="inlineStr">
        <is>
          <t>KARLSKOGA</t>
        </is>
      </c>
      <c r="F2799" t="inlineStr">
        <is>
          <t>Sveaskog</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15256-2025</t>
        </is>
      </c>
      <c r="B2800" s="1" t="n">
        <v>45744.65391203704</v>
      </c>
      <c r="C2800" s="1" t="n">
        <v>45952</v>
      </c>
      <c r="D2800" t="inlineStr">
        <is>
          <t>ÖREBRO LÄN</t>
        </is>
      </c>
      <c r="E2800" t="inlineStr">
        <is>
          <t>KARLSKOGA</t>
        </is>
      </c>
      <c r="F2800" t="inlineStr">
        <is>
          <t>Sveaskog</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44806-2023</t>
        </is>
      </c>
      <c r="B2801" s="1" t="n">
        <v>45190.49174768518</v>
      </c>
      <c r="C2801" s="1" t="n">
        <v>45952</v>
      </c>
      <c r="D2801" t="inlineStr">
        <is>
          <t>ÖREBRO LÄN</t>
        </is>
      </c>
      <c r="E2801" t="inlineStr">
        <is>
          <t>DEGERFORS</t>
        </is>
      </c>
      <c r="F2801" t="inlineStr">
        <is>
          <t>Sveaskog</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16537-2024</t>
        </is>
      </c>
      <c r="B2802" s="1" t="n">
        <v>45408.43247685185</v>
      </c>
      <c r="C2802" s="1" t="n">
        <v>45952</v>
      </c>
      <c r="D2802" t="inlineStr">
        <is>
          <t>ÖREBRO LÄN</t>
        </is>
      </c>
      <c r="E2802" t="inlineStr">
        <is>
          <t>NORA</t>
        </is>
      </c>
      <c r="F2802" t="inlineStr">
        <is>
          <t>Kommuner</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16557-2024</t>
        </is>
      </c>
      <c r="B2803" s="1" t="n">
        <v>45408.45260416667</v>
      </c>
      <c r="C2803" s="1" t="n">
        <v>45952</v>
      </c>
      <c r="D2803" t="inlineStr">
        <is>
          <t>ÖREBRO LÄN</t>
        </is>
      </c>
      <c r="E2803" t="inlineStr">
        <is>
          <t>NORA</t>
        </is>
      </c>
      <c r="F2803" t="inlineStr">
        <is>
          <t>Sveaskog</t>
        </is>
      </c>
      <c r="G2803" t="n">
        <v>1.8</v>
      </c>
      <c r="H2803" t="n">
        <v>0</v>
      </c>
      <c r="I2803" t="n">
        <v>0</v>
      </c>
      <c r="J2803" t="n">
        <v>0</v>
      </c>
      <c r="K2803" t="n">
        <v>0</v>
      </c>
      <c r="L2803" t="n">
        <v>0</v>
      </c>
      <c r="M2803" t="n">
        <v>0</v>
      </c>
      <c r="N2803" t="n">
        <v>0</v>
      </c>
      <c r="O2803" t="n">
        <v>0</v>
      </c>
      <c r="P2803" t="n">
        <v>0</v>
      </c>
      <c r="Q2803" t="n">
        <v>0</v>
      </c>
      <c r="R2803" s="2" t="inlineStr"/>
    </row>
    <row r="2804" ht="15" customHeight="1">
      <c r="A2804" t="inlineStr">
        <is>
          <t>A 11581-2024</t>
        </is>
      </c>
      <c r="B2804" s="1" t="n">
        <v>45373.34383101852</v>
      </c>
      <c r="C2804" s="1" t="n">
        <v>45952</v>
      </c>
      <c r="D2804" t="inlineStr">
        <is>
          <t>ÖREBRO LÄN</t>
        </is>
      </c>
      <c r="E2804" t="inlineStr">
        <is>
          <t>LINDESBERG</t>
        </is>
      </c>
      <c r="F2804" t="inlineStr">
        <is>
          <t>BillerudKorsnäs AB</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3120-2022</t>
        </is>
      </c>
      <c r="B2805" s="1" t="n">
        <v>44582</v>
      </c>
      <c r="C2805" s="1" t="n">
        <v>45952</v>
      </c>
      <c r="D2805" t="inlineStr">
        <is>
          <t>ÖREBRO LÄN</t>
        </is>
      </c>
      <c r="E2805" t="inlineStr">
        <is>
          <t>ÖREBRO</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28562-2023</t>
        </is>
      </c>
      <c r="B2806" s="1" t="n">
        <v>45103.53614583334</v>
      </c>
      <c r="C2806" s="1" t="n">
        <v>45952</v>
      </c>
      <c r="D2806" t="inlineStr">
        <is>
          <t>ÖREBRO LÄN</t>
        </is>
      </c>
      <c r="E2806" t="inlineStr">
        <is>
          <t>LINDESBERG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16631-2024</t>
        </is>
      </c>
      <c r="B2807" s="1" t="n">
        <v>45408.59015046297</v>
      </c>
      <c r="C2807" s="1" t="n">
        <v>45952</v>
      </c>
      <c r="D2807" t="inlineStr">
        <is>
          <t>ÖREBRO LÄN</t>
        </is>
      </c>
      <c r="E2807" t="inlineStr">
        <is>
          <t>ASKERSUND</t>
        </is>
      </c>
      <c r="F2807" t="inlineStr">
        <is>
          <t>Sveaskog</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58657-2024</t>
        </is>
      </c>
      <c r="B2808" s="1" t="n">
        <v>45632</v>
      </c>
      <c r="C2808" s="1" t="n">
        <v>45952</v>
      </c>
      <c r="D2808" t="inlineStr">
        <is>
          <t>ÖREBRO LÄN</t>
        </is>
      </c>
      <c r="E2808" t="inlineStr">
        <is>
          <t>KUMLA</t>
        </is>
      </c>
      <c r="G2808" t="n">
        <v>4</v>
      </c>
      <c r="H2808" t="n">
        <v>0</v>
      </c>
      <c r="I2808" t="n">
        <v>0</v>
      </c>
      <c r="J2808" t="n">
        <v>0</v>
      </c>
      <c r="K2808" t="n">
        <v>0</v>
      </c>
      <c r="L2808" t="n">
        <v>0</v>
      </c>
      <c r="M2808" t="n">
        <v>0</v>
      </c>
      <c r="N2808" t="n">
        <v>0</v>
      </c>
      <c r="O2808" t="n">
        <v>0</v>
      </c>
      <c r="P2808" t="n">
        <v>0</v>
      </c>
      <c r="Q2808" t="n">
        <v>0</v>
      </c>
      <c r="R2808" s="2" t="inlineStr"/>
    </row>
    <row r="2809" ht="15" customHeight="1">
      <c r="A2809" t="inlineStr">
        <is>
          <t>A 48388-2025</t>
        </is>
      </c>
      <c r="B2809" s="1" t="n">
        <v>45933.89319444444</v>
      </c>
      <c r="C2809" s="1" t="n">
        <v>45952</v>
      </c>
      <c r="D2809" t="inlineStr">
        <is>
          <t>ÖREBRO LÄN</t>
        </is>
      </c>
      <c r="E2809" t="inlineStr">
        <is>
          <t>ASKERSUND</t>
        </is>
      </c>
      <c r="F2809" t="inlineStr">
        <is>
          <t>Sveaskog</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48389-2025</t>
        </is>
      </c>
      <c r="B2810" s="1" t="n">
        <v>45933.89372685185</v>
      </c>
      <c r="C2810" s="1" t="n">
        <v>45952</v>
      </c>
      <c r="D2810" t="inlineStr">
        <is>
          <t>ÖREBRO LÄN</t>
        </is>
      </c>
      <c r="E2810" t="inlineStr">
        <is>
          <t>ASKERSUND</t>
        </is>
      </c>
      <c r="F2810" t="inlineStr">
        <is>
          <t>Sveaskog</t>
        </is>
      </c>
      <c r="G2810" t="n">
        <v>5.1</v>
      </c>
      <c r="H2810" t="n">
        <v>0</v>
      </c>
      <c r="I2810" t="n">
        <v>0</v>
      </c>
      <c r="J2810" t="n">
        <v>0</v>
      </c>
      <c r="K2810" t="n">
        <v>0</v>
      </c>
      <c r="L2810" t="n">
        <v>0</v>
      </c>
      <c r="M2810" t="n">
        <v>0</v>
      </c>
      <c r="N2810" t="n">
        <v>0</v>
      </c>
      <c r="O2810" t="n">
        <v>0</v>
      </c>
      <c r="P2810" t="n">
        <v>0</v>
      </c>
      <c r="Q2810" t="n">
        <v>0</v>
      </c>
      <c r="R2810" s="2" t="inlineStr"/>
    </row>
    <row r="2811" ht="15" customHeight="1">
      <c r="A2811" t="inlineStr">
        <is>
          <t>A 19388-2024</t>
        </is>
      </c>
      <c r="B2811" s="1" t="n">
        <v>45429.37775462963</v>
      </c>
      <c r="C2811" s="1" t="n">
        <v>45952</v>
      </c>
      <c r="D2811" t="inlineStr">
        <is>
          <t>ÖREBRO LÄN</t>
        </is>
      </c>
      <c r="E2811" t="inlineStr">
        <is>
          <t>ÖREBRO</t>
        </is>
      </c>
      <c r="G2811" t="n">
        <v>4.3</v>
      </c>
      <c r="H2811" t="n">
        <v>0</v>
      </c>
      <c r="I2811" t="n">
        <v>0</v>
      </c>
      <c r="J2811" t="n">
        <v>0</v>
      </c>
      <c r="K2811" t="n">
        <v>0</v>
      </c>
      <c r="L2811" t="n">
        <v>0</v>
      </c>
      <c r="M2811" t="n">
        <v>0</v>
      </c>
      <c r="N2811" t="n">
        <v>0</v>
      </c>
      <c r="O2811" t="n">
        <v>0</v>
      </c>
      <c r="P2811" t="n">
        <v>0</v>
      </c>
      <c r="Q2811" t="n">
        <v>0</v>
      </c>
      <c r="R2811" s="2" t="inlineStr"/>
    </row>
    <row r="2812" ht="15" customHeight="1">
      <c r="A2812" t="inlineStr">
        <is>
          <t>A 1400-2025</t>
        </is>
      </c>
      <c r="B2812" s="1" t="n">
        <v>45667</v>
      </c>
      <c r="C2812" s="1" t="n">
        <v>45952</v>
      </c>
      <c r="D2812" t="inlineStr">
        <is>
          <t>ÖREBRO LÄN</t>
        </is>
      </c>
      <c r="E2812" t="inlineStr">
        <is>
          <t>LINDESBERG</t>
        </is>
      </c>
      <c r="F2812" t="inlineStr">
        <is>
          <t>Allmännings- och besparingsskogar</t>
        </is>
      </c>
      <c r="G2812" t="n">
        <v>11.3</v>
      </c>
      <c r="H2812" t="n">
        <v>0</v>
      </c>
      <c r="I2812" t="n">
        <v>0</v>
      </c>
      <c r="J2812" t="n">
        <v>0</v>
      </c>
      <c r="K2812" t="n">
        <v>0</v>
      </c>
      <c r="L2812" t="n">
        <v>0</v>
      </c>
      <c r="M2812" t="n">
        <v>0</v>
      </c>
      <c r="N2812" t="n">
        <v>0</v>
      </c>
      <c r="O2812" t="n">
        <v>0</v>
      </c>
      <c r="P2812" t="n">
        <v>0</v>
      </c>
      <c r="Q2812" t="n">
        <v>0</v>
      </c>
      <c r="R2812" s="2" t="inlineStr"/>
    </row>
    <row r="2813" ht="15" customHeight="1">
      <c r="A2813" t="inlineStr">
        <is>
          <t>A 47901-2025</t>
        </is>
      </c>
      <c r="B2813" s="1" t="n">
        <v>45932.49747685185</v>
      </c>
      <c r="C2813" s="1" t="n">
        <v>45952</v>
      </c>
      <c r="D2813" t="inlineStr">
        <is>
          <t>ÖREBRO LÄN</t>
        </is>
      </c>
      <c r="E2813" t="inlineStr">
        <is>
          <t>HALLSBERG</t>
        </is>
      </c>
      <c r="F2813" t="inlineStr">
        <is>
          <t>Sveaskog</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8184-2022</t>
        </is>
      </c>
      <c r="B2814" s="1" t="n">
        <v>44609</v>
      </c>
      <c r="C2814" s="1" t="n">
        <v>45952</v>
      </c>
      <c r="D2814" t="inlineStr">
        <is>
          <t>ÖREBRO LÄN</t>
        </is>
      </c>
      <c r="E2814" t="inlineStr">
        <is>
          <t>DEGERFORS</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46290-2024</t>
        </is>
      </c>
      <c r="B2815" s="1" t="n">
        <v>45581.66018518519</v>
      </c>
      <c r="C2815" s="1" t="n">
        <v>45952</v>
      </c>
      <c r="D2815" t="inlineStr">
        <is>
          <t>ÖREBRO LÄN</t>
        </is>
      </c>
      <c r="E2815" t="inlineStr">
        <is>
          <t>DEGERFORS</t>
        </is>
      </c>
      <c r="F2815" t="inlineStr">
        <is>
          <t>Sveaskog</t>
        </is>
      </c>
      <c r="G2815" t="n">
        <v>8.199999999999999</v>
      </c>
      <c r="H2815" t="n">
        <v>0</v>
      </c>
      <c r="I2815" t="n">
        <v>0</v>
      </c>
      <c r="J2815" t="n">
        <v>0</v>
      </c>
      <c r="K2815" t="n">
        <v>0</v>
      </c>
      <c r="L2815" t="n">
        <v>0</v>
      </c>
      <c r="M2815" t="n">
        <v>0</v>
      </c>
      <c r="N2815" t="n">
        <v>0</v>
      </c>
      <c r="O2815" t="n">
        <v>0</v>
      </c>
      <c r="P2815" t="n">
        <v>0</v>
      </c>
      <c r="Q2815" t="n">
        <v>0</v>
      </c>
      <c r="R2815" s="2" t="inlineStr"/>
    </row>
    <row r="2816" ht="15" customHeight="1">
      <c r="A2816" t="inlineStr">
        <is>
          <t>A 48934-2025</t>
        </is>
      </c>
      <c r="B2816" s="1" t="n">
        <v>45937.52383101852</v>
      </c>
      <c r="C2816" s="1" t="n">
        <v>45952</v>
      </c>
      <c r="D2816" t="inlineStr">
        <is>
          <t>ÖREBRO LÄN</t>
        </is>
      </c>
      <c r="E2816" t="inlineStr">
        <is>
          <t>LJUSNARSBERG</t>
        </is>
      </c>
      <c r="F2816" t="inlineStr">
        <is>
          <t>Sveaskog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48943-2025</t>
        </is>
      </c>
      <c r="B2817" s="1" t="n">
        <v>45937.53585648148</v>
      </c>
      <c r="C2817" s="1" t="n">
        <v>45952</v>
      </c>
      <c r="D2817" t="inlineStr">
        <is>
          <t>ÖREBRO LÄN</t>
        </is>
      </c>
      <c r="E2817" t="inlineStr">
        <is>
          <t>LJUSNARSBERG</t>
        </is>
      </c>
      <c r="F2817" t="inlineStr">
        <is>
          <t>Sveaskog</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48953-2025</t>
        </is>
      </c>
      <c r="B2818" s="1" t="n">
        <v>45937.54697916667</v>
      </c>
      <c r="C2818" s="1" t="n">
        <v>45952</v>
      </c>
      <c r="D2818" t="inlineStr">
        <is>
          <t>ÖREBRO LÄN</t>
        </is>
      </c>
      <c r="E2818" t="inlineStr">
        <is>
          <t>LINDESBERG</t>
        </is>
      </c>
      <c r="F2818" t="inlineStr">
        <is>
          <t>Sveaskog</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48961-2025</t>
        </is>
      </c>
      <c r="B2819" s="1" t="n">
        <v>45936</v>
      </c>
      <c r="C2819" s="1" t="n">
        <v>45952</v>
      </c>
      <c r="D2819" t="inlineStr">
        <is>
          <t>ÖREBRO LÄN</t>
        </is>
      </c>
      <c r="E2819" t="inlineStr">
        <is>
          <t>HÄLLEFORS</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23308-2025</t>
        </is>
      </c>
      <c r="B2820" s="1" t="n">
        <v>45791.6047800926</v>
      </c>
      <c r="C2820" s="1" t="n">
        <v>45952</v>
      </c>
      <c r="D2820" t="inlineStr">
        <is>
          <t>ÖREBRO LÄN</t>
        </is>
      </c>
      <c r="E2820" t="inlineStr">
        <is>
          <t>KARLSKOGA</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23233-2025</t>
        </is>
      </c>
      <c r="B2821" s="1" t="n">
        <v>45791</v>
      </c>
      <c r="C2821" s="1" t="n">
        <v>45952</v>
      </c>
      <c r="D2821" t="inlineStr">
        <is>
          <t>ÖREBRO LÄN</t>
        </is>
      </c>
      <c r="E2821" t="inlineStr">
        <is>
          <t>ASKERSUND</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48573-2025</t>
        </is>
      </c>
      <c r="B2822" s="1" t="n">
        <v>45936.45064814815</v>
      </c>
      <c r="C2822" s="1" t="n">
        <v>45952</v>
      </c>
      <c r="D2822" t="inlineStr">
        <is>
          <t>ÖREBRO LÄN</t>
        </is>
      </c>
      <c r="E2822" t="inlineStr">
        <is>
          <t>LJUSNARSBERG</t>
        </is>
      </c>
      <c r="F2822" t="inlineStr">
        <is>
          <t>Sveaskog</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23234-2025</t>
        </is>
      </c>
      <c r="B2823" s="1" t="n">
        <v>45791.49327546296</v>
      </c>
      <c r="C2823" s="1" t="n">
        <v>45952</v>
      </c>
      <c r="D2823" t="inlineStr">
        <is>
          <t>ÖREBRO LÄN</t>
        </is>
      </c>
      <c r="E2823" t="inlineStr">
        <is>
          <t>LAXÅ</t>
        </is>
      </c>
      <c r="F2823" t="inlineStr">
        <is>
          <t>Sveaskog</t>
        </is>
      </c>
      <c r="G2823" t="n">
        <v>9.300000000000001</v>
      </c>
      <c r="H2823" t="n">
        <v>0</v>
      </c>
      <c r="I2823" t="n">
        <v>0</v>
      </c>
      <c r="J2823" t="n">
        <v>0</v>
      </c>
      <c r="K2823" t="n">
        <v>0</v>
      </c>
      <c r="L2823" t="n">
        <v>0</v>
      </c>
      <c r="M2823" t="n">
        <v>0</v>
      </c>
      <c r="N2823" t="n">
        <v>0</v>
      </c>
      <c r="O2823" t="n">
        <v>0</v>
      </c>
      <c r="P2823" t="n">
        <v>0</v>
      </c>
      <c r="Q2823" t="n">
        <v>0</v>
      </c>
      <c r="R2823" s="2" t="inlineStr"/>
    </row>
    <row r="2824" ht="15" customHeight="1">
      <c r="A2824" t="inlineStr">
        <is>
          <t>A 24624-2023</t>
        </is>
      </c>
      <c r="B2824" s="1" t="n">
        <v>45084</v>
      </c>
      <c r="C2824" s="1" t="n">
        <v>45952</v>
      </c>
      <c r="D2824" t="inlineStr">
        <is>
          <t>ÖREBRO LÄN</t>
        </is>
      </c>
      <c r="E2824" t="inlineStr">
        <is>
          <t>HALLSBERG</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55745-2024</t>
        </is>
      </c>
      <c r="B2825" s="1" t="n">
        <v>45623.3168287037</v>
      </c>
      <c r="C2825" s="1" t="n">
        <v>45952</v>
      </c>
      <c r="D2825" t="inlineStr">
        <is>
          <t>ÖREBRO LÄN</t>
        </is>
      </c>
      <c r="E2825" t="inlineStr">
        <is>
          <t>HÄLLEFORS</t>
        </is>
      </c>
      <c r="F2825" t="inlineStr">
        <is>
          <t>Bergvik skog väst AB</t>
        </is>
      </c>
      <c r="G2825" t="n">
        <v>2.4</v>
      </c>
      <c r="H2825" t="n">
        <v>0</v>
      </c>
      <c r="I2825" t="n">
        <v>0</v>
      </c>
      <c r="J2825" t="n">
        <v>0</v>
      </c>
      <c r="K2825" t="n">
        <v>0</v>
      </c>
      <c r="L2825" t="n">
        <v>0</v>
      </c>
      <c r="M2825" t="n">
        <v>0</v>
      </c>
      <c r="N2825" t="n">
        <v>0</v>
      </c>
      <c r="O2825" t="n">
        <v>0</v>
      </c>
      <c r="P2825" t="n">
        <v>0</v>
      </c>
      <c r="Q2825" t="n">
        <v>0</v>
      </c>
      <c r="R2825" s="2" t="inlineStr"/>
    </row>
    <row r="2826" ht="15" customHeight="1">
      <c r="A2826" t="inlineStr">
        <is>
          <t>A 40067-2025</t>
        </is>
      </c>
      <c r="B2826" s="1" t="n">
        <v>45894.43824074074</v>
      </c>
      <c r="C2826" s="1" t="n">
        <v>45952</v>
      </c>
      <c r="D2826" t="inlineStr">
        <is>
          <t>ÖREBRO LÄN</t>
        </is>
      </c>
      <c r="E2826" t="inlineStr">
        <is>
          <t>HALLSBERG</t>
        </is>
      </c>
      <c r="F2826" t="inlineStr">
        <is>
          <t>Sveaskog</t>
        </is>
      </c>
      <c r="G2826" t="n">
        <v>0.4</v>
      </c>
      <c r="H2826" t="n">
        <v>0</v>
      </c>
      <c r="I2826" t="n">
        <v>0</v>
      </c>
      <c r="J2826" t="n">
        <v>0</v>
      </c>
      <c r="K2826" t="n">
        <v>0</v>
      </c>
      <c r="L2826" t="n">
        <v>0</v>
      </c>
      <c r="M2826" t="n">
        <v>0</v>
      </c>
      <c r="N2826" t="n">
        <v>0</v>
      </c>
      <c r="O2826" t="n">
        <v>0</v>
      </c>
      <c r="P2826" t="n">
        <v>0</v>
      </c>
      <c r="Q2826" t="n">
        <v>0</v>
      </c>
      <c r="R2826" s="2" t="inlineStr"/>
    </row>
    <row r="2827" ht="15" customHeight="1">
      <c r="A2827" t="inlineStr">
        <is>
          <t>A 38380-2024</t>
        </is>
      </c>
      <c r="B2827" s="1" t="n">
        <v>45546.28121527778</v>
      </c>
      <c r="C2827" s="1" t="n">
        <v>45952</v>
      </c>
      <c r="D2827" t="inlineStr">
        <is>
          <t>ÖREBRO LÄN</t>
        </is>
      </c>
      <c r="E2827" t="inlineStr">
        <is>
          <t>LINDESBERG</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28564-2024</t>
        </is>
      </c>
      <c r="B2828" s="1" t="n">
        <v>45478.38640046296</v>
      </c>
      <c r="C2828" s="1" t="n">
        <v>45952</v>
      </c>
      <c r="D2828" t="inlineStr">
        <is>
          <t>ÖREBRO LÄN</t>
        </is>
      </c>
      <c r="E2828" t="inlineStr">
        <is>
          <t>HÄLLEFORS</t>
        </is>
      </c>
      <c r="F2828" t="inlineStr">
        <is>
          <t>Bergvik skog väst AB</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21202-2024</t>
        </is>
      </c>
      <c r="B2829" s="1" t="n">
        <v>45440.5433912037</v>
      </c>
      <c r="C2829" s="1" t="n">
        <v>45952</v>
      </c>
      <c r="D2829" t="inlineStr">
        <is>
          <t>ÖREBRO LÄN</t>
        </is>
      </c>
      <c r="E2829" t="inlineStr">
        <is>
          <t>LINDESBERG</t>
        </is>
      </c>
      <c r="G2829" t="n">
        <v>4</v>
      </c>
      <c r="H2829" t="n">
        <v>0</v>
      </c>
      <c r="I2829" t="n">
        <v>0</v>
      </c>
      <c r="J2829" t="n">
        <v>0</v>
      </c>
      <c r="K2829" t="n">
        <v>0</v>
      </c>
      <c r="L2829" t="n">
        <v>0</v>
      </c>
      <c r="M2829" t="n">
        <v>0</v>
      </c>
      <c r="N2829" t="n">
        <v>0</v>
      </c>
      <c r="O2829" t="n">
        <v>0</v>
      </c>
      <c r="P2829" t="n">
        <v>0</v>
      </c>
      <c r="Q2829" t="n">
        <v>0</v>
      </c>
      <c r="R2829" s="2" t="inlineStr"/>
    </row>
    <row r="2830" ht="15" customHeight="1">
      <c r="A2830" t="inlineStr">
        <is>
          <t>A 13389-2024</t>
        </is>
      </c>
      <c r="B2830" s="1" t="n">
        <v>45387.40418981481</v>
      </c>
      <c r="C2830" s="1" t="n">
        <v>45952</v>
      </c>
      <c r="D2830" t="inlineStr">
        <is>
          <t>ÖREBRO LÄN</t>
        </is>
      </c>
      <c r="E2830" t="inlineStr">
        <is>
          <t>LJUSNARSBERG</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48619-2025</t>
        </is>
      </c>
      <c r="B2831" s="1" t="n">
        <v>45936.49065972222</v>
      </c>
      <c r="C2831" s="1" t="n">
        <v>45952</v>
      </c>
      <c r="D2831" t="inlineStr">
        <is>
          <t>ÖREBRO LÄN</t>
        </is>
      </c>
      <c r="E2831" t="inlineStr">
        <is>
          <t>ASKERSUND</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60357-2023</t>
        </is>
      </c>
      <c r="B2832" s="1" t="n">
        <v>45258</v>
      </c>
      <c r="C2832" s="1" t="n">
        <v>45952</v>
      </c>
      <c r="D2832" t="inlineStr">
        <is>
          <t>ÖREBRO LÄN</t>
        </is>
      </c>
      <c r="E2832" t="inlineStr">
        <is>
          <t>ASKERSUND</t>
        </is>
      </c>
      <c r="G2832" t="n">
        <v>9.1</v>
      </c>
      <c r="H2832" t="n">
        <v>0</v>
      </c>
      <c r="I2832" t="n">
        <v>0</v>
      </c>
      <c r="J2832" t="n">
        <v>0</v>
      </c>
      <c r="K2832" t="n">
        <v>0</v>
      </c>
      <c r="L2832" t="n">
        <v>0</v>
      </c>
      <c r="M2832" t="n">
        <v>0</v>
      </c>
      <c r="N2832" t="n">
        <v>0</v>
      </c>
      <c r="O2832" t="n">
        <v>0</v>
      </c>
      <c r="P2832" t="n">
        <v>0</v>
      </c>
      <c r="Q2832" t="n">
        <v>0</v>
      </c>
      <c r="R2832" s="2" t="inlineStr"/>
    </row>
    <row r="2833" ht="15" customHeight="1">
      <c r="A2833" t="inlineStr">
        <is>
          <t>A 48501-2025</t>
        </is>
      </c>
      <c r="B2833" s="1" t="n">
        <v>45936.37960648148</v>
      </c>
      <c r="C2833" s="1" t="n">
        <v>45952</v>
      </c>
      <c r="D2833" t="inlineStr">
        <is>
          <t>ÖREBRO LÄN</t>
        </is>
      </c>
      <c r="E2833" t="inlineStr">
        <is>
          <t>LJUSNARSBERG</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36114-2024</t>
        </is>
      </c>
      <c r="B2834" s="1" t="n">
        <v>45534.30509259259</v>
      </c>
      <c r="C2834" s="1" t="n">
        <v>45952</v>
      </c>
      <c r="D2834" t="inlineStr">
        <is>
          <t>ÖREBRO LÄN</t>
        </is>
      </c>
      <c r="E2834" t="inlineStr">
        <is>
          <t>HÄLLEFORS</t>
        </is>
      </c>
      <c r="F2834" t="inlineStr">
        <is>
          <t>Bergvik skog väst AB</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32937-2024</t>
        </is>
      </c>
      <c r="B2835" s="1" t="n">
        <v>45517.32866898148</v>
      </c>
      <c r="C2835" s="1" t="n">
        <v>45952</v>
      </c>
      <c r="D2835" t="inlineStr">
        <is>
          <t>ÖREBRO LÄN</t>
        </is>
      </c>
      <c r="E2835" t="inlineStr">
        <is>
          <t>HÄLLEFORS</t>
        </is>
      </c>
      <c r="F2835" t="inlineStr">
        <is>
          <t>Bergvik skog väst AB</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44199-2024</t>
        </is>
      </c>
      <c r="B2836" s="1" t="n">
        <v>45573</v>
      </c>
      <c r="C2836" s="1" t="n">
        <v>45952</v>
      </c>
      <c r="D2836" t="inlineStr">
        <is>
          <t>ÖREBRO LÄN</t>
        </is>
      </c>
      <c r="E2836" t="inlineStr">
        <is>
          <t>ÖREBRO</t>
        </is>
      </c>
      <c r="G2836" t="n">
        <v>4.3</v>
      </c>
      <c r="H2836" t="n">
        <v>0</v>
      </c>
      <c r="I2836" t="n">
        <v>0</v>
      </c>
      <c r="J2836" t="n">
        <v>0</v>
      </c>
      <c r="K2836" t="n">
        <v>0</v>
      </c>
      <c r="L2836" t="n">
        <v>0</v>
      </c>
      <c r="M2836" t="n">
        <v>0</v>
      </c>
      <c r="N2836" t="n">
        <v>0</v>
      </c>
      <c r="O2836" t="n">
        <v>0</v>
      </c>
      <c r="P2836" t="n">
        <v>0</v>
      </c>
      <c r="Q2836" t="n">
        <v>0</v>
      </c>
      <c r="R2836" s="2" t="inlineStr"/>
    </row>
    <row r="2837" ht="15" customHeight="1">
      <c r="A2837" t="inlineStr">
        <is>
          <t>A 48515-2025</t>
        </is>
      </c>
      <c r="B2837" s="1" t="n">
        <v>45936.39302083333</v>
      </c>
      <c r="C2837" s="1" t="n">
        <v>45952</v>
      </c>
      <c r="D2837" t="inlineStr">
        <is>
          <t>ÖREBRO LÄN</t>
        </is>
      </c>
      <c r="E2837" t="inlineStr">
        <is>
          <t>LJUSNARSBERG</t>
        </is>
      </c>
      <c r="F2837" t="inlineStr">
        <is>
          <t>Sveaskog</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30172-2023</t>
        </is>
      </c>
      <c r="B2838" s="1" t="n">
        <v>45110.5818287037</v>
      </c>
      <c r="C2838" s="1" t="n">
        <v>45952</v>
      </c>
      <c r="D2838" t="inlineStr">
        <is>
          <t>ÖREBRO LÄN</t>
        </is>
      </c>
      <c r="E2838" t="inlineStr">
        <is>
          <t>LJUSNARSBERG</t>
        </is>
      </c>
      <c r="F2838" t="inlineStr">
        <is>
          <t>Bergvik skog väst AB</t>
        </is>
      </c>
      <c r="G2838" t="n">
        <v>10.8</v>
      </c>
      <c r="H2838" t="n">
        <v>0</v>
      </c>
      <c r="I2838" t="n">
        <v>0</v>
      </c>
      <c r="J2838" t="n">
        <v>0</v>
      </c>
      <c r="K2838" t="n">
        <v>0</v>
      </c>
      <c r="L2838" t="n">
        <v>0</v>
      </c>
      <c r="M2838" t="n">
        <v>0</v>
      </c>
      <c r="N2838" t="n">
        <v>0</v>
      </c>
      <c r="O2838" t="n">
        <v>0</v>
      </c>
      <c r="P2838" t="n">
        <v>0</v>
      </c>
      <c r="Q2838" t="n">
        <v>0</v>
      </c>
      <c r="R2838" s="2" t="inlineStr"/>
    </row>
    <row r="2839" ht="15" customHeight="1">
      <c r="A2839" t="inlineStr">
        <is>
          <t>A 16470-2025</t>
        </is>
      </c>
      <c r="B2839" s="1" t="n">
        <v>45751.54487268518</v>
      </c>
      <c r="C2839" s="1" t="n">
        <v>45952</v>
      </c>
      <c r="D2839" t="inlineStr">
        <is>
          <t>ÖREBRO LÄN</t>
        </is>
      </c>
      <c r="E2839" t="inlineStr">
        <is>
          <t>LJUSNARSBERG</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33334-2023</t>
        </is>
      </c>
      <c r="B2840" s="1" t="n">
        <v>45128.33488425926</v>
      </c>
      <c r="C2840" s="1" t="n">
        <v>45952</v>
      </c>
      <c r="D2840" t="inlineStr">
        <is>
          <t>ÖREBRO LÄN</t>
        </is>
      </c>
      <c r="E2840" t="inlineStr">
        <is>
          <t>LEKEBERG</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23238-2025</t>
        </is>
      </c>
      <c r="B2841" s="1" t="n">
        <v>45791.49697916667</v>
      </c>
      <c r="C2841" s="1" t="n">
        <v>45952</v>
      </c>
      <c r="D2841" t="inlineStr">
        <is>
          <t>ÖREBRO LÄN</t>
        </is>
      </c>
      <c r="E2841" t="inlineStr">
        <is>
          <t>LAXÅ</t>
        </is>
      </c>
      <c r="F2841" t="inlineStr">
        <is>
          <t>Sveaskog</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16958-2022</t>
        </is>
      </c>
      <c r="B2842" s="1" t="n">
        <v>44676.50481481481</v>
      </c>
      <c r="C2842" s="1" t="n">
        <v>45952</v>
      </c>
      <c r="D2842" t="inlineStr">
        <is>
          <t>ÖREBRO LÄN</t>
        </is>
      </c>
      <c r="E2842" t="inlineStr">
        <is>
          <t>ÖREBRO</t>
        </is>
      </c>
      <c r="G2842" t="n">
        <v>3.1</v>
      </c>
      <c r="H2842" t="n">
        <v>0</v>
      </c>
      <c r="I2842" t="n">
        <v>0</v>
      </c>
      <c r="J2842" t="n">
        <v>0</v>
      </c>
      <c r="K2842" t="n">
        <v>0</v>
      </c>
      <c r="L2842" t="n">
        <v>0</v>
      </c>
      <c r="M2842" t="n">
        <v>0</v>
      </c>
      <c r="N2842" t="n">
        <v>0</v>
      </c>
      <c r="O2842" t="n">
        <v>0</v>
      </c>
      <c r="P2842" t="n">
        <v>0</v>
      </c>
      <c r="Q2842" t="n">
        <v>0</v>
      </c>
      <c r="R2842" s="2" t="inlineStr"/>
    </row>
    <row r="2843" ht="15" customHeight="1">
      <c r="A2843" t="inlineStr">
        <is>
          <t>A 40330-2025</t>
        </is>
      </c>
      <c r="B2843" s="1" t="n">
        <v>45895.4531712963</v>
      </c>
      <c r="C2843" s="1" t="n">
        <v>45952</v>
      </c>
      <c r="D2843" t="inlineStr">
        <is>
          <t>ÖREBRO LÄN</t>
        </is>
      </c>
      <c r="E2843" t="inlineStr">
        <is>
          <t>ÖREBRO</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34926-2023</t>
        </is>
      </c>
      <c r="B2844" s="1" t="n">
        <v>45142.49333333333</v>
      </c>
      <c r="C2844" s="1" t="n">
        <v>45952</v>
      </c>
      <c r="D2844" t="inlineStr">
        <is>
          <t>ÖREBRO LÄN</t>
        </is>
      </c>
      <c r="E2844" t="inlineStr">
        <is>
          <t>LJUSNARSBERG</t>
        </is>
      </c>
      <c r="F2844" t="inlineStr">
        <is>
          <t>Bergvik skog väst AB</t>
        </is>
      </c>
      <c r="G2844" t="n">
        <v>4.4</v>
      </c>
      <c r="H2844" t="n">
        <v>0</v>
      </c>
      <c r="I2844" t="n">
        <v>0</v>
      </c>
      <c r="J2844" t="n">
        <v>0</v>
      </c>
      <c r="K2844" t="n">
        <v>0</v>
      </c>
      <c r="L2844" t="n">
        <v>0</v>
      </c>
      <c r="M2844" t="n">
        <v>0</v>
      </c>
      <c r="N2844" t="n">
        <v>0</v>
      </c>
      <c r="O2844" t="n">
        <v>0</v>
      </c>
      <c r="P2844" t="n">
        <v>0</v>
      </c>
      <c r="Q2844" t="n">
        <v>0</v>
      </c>
      <c r="R2844" s="2" t="inlineStr"/>
    </row>
    <row r="2845" ht="15" customHeight="1">
      <c r="A2845" t="inlineStr">
        <is>
          <t>A 4380-2025</t>
        </is>
      </c>
      <c r="B2845" s="1" t="n">
        <v>45686.3959375</v>
      </c>
      <c r="C2845" s="1" t="n">
        <v>45952</v>
      </c>
      <c r="D2845" t="inlineStr">
        <is>
          <t>ÖREBRO LÄN</t>
        </is>
      </c>
      <c r="E2845" t="inlineStr">
        <is>
          <t>ÖREBRO</t>
        </is>
      </c>
      <c r="G2845" t="n">
        <v>3.2</v>
      </c>
      <c r="H2845" t="n">
        <v>0</v>
      </c>
      <c r="I2845" t="n">
        <v>0</v>
      </c>
      <c r="J2845" t="n">
        <v>0</v>
      </c>
      <c r="K2845" t="n">
        <v>0</v>
      </c>
      <c r="L2845" t="n">
        <v>0</v>
      </c>
      <c r="M2845" t="n">
        <v>0</v>
      </c>
      <c r="N2845" t="n">
        <v>0</v>
      </c>
      <c r="O2845" t="n">
        <v>0</v>
      </c>
      <c r="P2845" t="n">
        <v>0</v>
      </c>
      <c r="Q2845" t="n">
        <v>0</v>
      </c>
      <c r="R2845" s="2" t="inlineStr"/>
    </row>
    <row r="2846" ht="15" customHeight="1">
      <c r="A2846" t="inlineStr">
        <is>
          <t>A 47811-2024</t>
        </is>
      </c>
      <c r="B2846" s="1" t="n">
        <v>45588.61716435185</v>
      </c>
      <c r="C2846" s="1" t="n">
        <v>45952</v>
      </c>
      <c r="D2846" t="inlineStr">
        <is>
          <t>ÖREBRO LÄN</t>
        </is>
      </c>
      <c r="E2846" t="inlineStr">
        <is>
          <t>HÄLLEFORS</t>
        </is>
      </c>
      <c r="F2846" t="inlineStr">
        <is>
          <t>Bergvik skog väst AB</t>
        </is>
      </c>
      <c r="G2846" t="n">
        <v>5.9</v>
      </c>
      <c r="H2846" t="n">
        <v>0</v>
      </c>
      <c r="I2846" t="n">
        <v>0</v>
      </c>
      <c r="J2846" t="n">
        <v>0</v>
      </c>
      <c r="K2846" t="n">
        <v>0</v>
      </c>
      <c r="L2846" t="n">
        <v>0</v>
      </c>
      <c r="M2846" t="n">
        <v>0</v>
      </c>
      <c r="N2846" t="n">
        <v>0</v>
      </c>
      <c r="O2846" t="n">
        <v>0</v>
      </c>
      <c r="P2846" t="n">
        <v>0</v>
      </c>
      <c r="Q2846" t="n">
        <v>0</v>
      </c>
      <c r="R2846" s="2" t="inlineStr"/>
    </row>
    <row r="2847" ht="15" customHeight="1">
      <c r="A2847" t="inlineStr">
        <is>
          <t>A 21016-2023</t>
        </is>
      </c>
      <c r="B2847" s="1" t="n">
        <v>45061.53414351852</v>
      </c>
      <c r="C2847" s="1" t="n">
        <v>45952</v>
      </c>
      <c r="D2847" t="inlineStr">
        <is>
          <t>ÖREBRO LÄN</t>
        </is>
      </c>
      <c r="E2847" t="inlineStr">
        <is>
          <t>LINDESBERG</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22999-2025</t>
        </is>
      </c>
      <c r="B2848" s="1" t="n">
        <v>45790.58875</v>
      </c>
      <c r="C2848" s="1" t="n">
        <v>45952</v>
      </c>
      <c r="D2848" t="inlineStr">
        <is>
          <t>ÖREBRO LÄN</t>
        </is>
      </c>
      <c r="E2848" t="inlineStr">
        <is>
          <t>ASKERSUND</t>
        </is>
      </c>
      <c r="G2848" t="n">
        <v>1.5</v>
      </c>
      <c r="H2848" t="n">
        <v>0</v>
      </c>
      <c r="I2848" t="n">
        <v>0</v>
      </c>
      <c r="J2848" t="n">
        <v>0</v>
      </c>
      <c r="K2848" t="n">
        <v>0</v>
      </c>
      <c r="L2848" t="n">
        <v>0</v>
      </c>
      <c r="M2848" t="n">
        <v>0</v>
      </c>
      <c r="N2848" t="n">
        <v>0</v>
      </c>
      <c r="O2848" t="n">
        <v>0</v>
      </c>
      <c r="P2848" t="n">
        <v>0</v>
      </c>
      <c r="Q2848" t="n">
        <v>0</v>
      </c>
      <c r="R2848" s="2" t="inlineStr"/>
    </row>
    <row r="2849" ht="15" customHeight="1">
      <c r="A2849" t="inlineStr">
        <is>
          <t>A 18468-2025</t>
        </is>
      </c>
      <c r="B2849" s="1" t="n">
        <v>45762.73166666667</v>
      </c>
      <c r="C2849" s="1" t="n">
        <v>45952</v>
      </c>
      <c r="D2849" t="inlineStr">
        <is>
          <t>ÖREBRO LÄN</t>
        </is>
      </c>
      <c r="E2849" t="inlineStr">
        <is>
          <t>KARLSKOGA</t>
        </is>
      </c>
      <c r="G2849" t="n">
        <v>3.1</v>
      </c>
      <c r="H2849" t="n">
        <v>0</v>
      </c>
      <c r="I2849" t="n">
        <v>0</v>
      </c>
      <c r="J2849" t="n">
        <v>0</v>
      </c>
      <c r="K2849" t="n">
        <v>0</v>
      </c>
      <c r="L2849" t="n">
        <v>0</v>
      </c>
      <c r="M2849" t="n">
        <v>0</v>
      </c>
      <c r="N2849" t="n">
        <v>0</v>
      </c>
      <c r="O2849" t="n">
        <v>0</v>
      </c>
      <c r="P2849" t="n">
        <v>0</v>
      </c>
      <c r="Q2849" t="n">
        <v>0</v>
      </c>
      <c r="R2849" s="2" t="inlineStr"/>
    </row>
    <row r="2850" ht="15" customHeight="1">
      <c r="A2850" t="inlineStr">
        <is>
          <t>A 40332-2025</t>
        </is>
      </c>
      <c r="B2850" s="1" t="n">
        <v>45895.46060185185</v>
      </c>
      <c r="C2850" s="1" t="n">
        <v>45952</v>
      </c>
      <c r="D2850" t="inlineStr">
        <is>
          <t>ÖREBRO LÄN</t>
        </is>
      </c>
      <c r="E2850" t="inlineStr">
        <is>
          <t>ÖREBRO</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5277-2024</t>
        </is>
      </c>
      <c r="B2851" s="1" t="n">
        <v>45330</v>
      </c>
      <c r="C2851" s="1" t="n">
        <v>45952</v>
      </c>
      <c r="D2851" t="inlineStr">
        <is>
          <t>ÖREBRO LÄN</t>
        </is>
      </c>
      <c r="E2851" t="inlineStr">
        <is>
          <t>DEGERFORS</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5338-2024</t>
        </is>
      </c>
      <c r="B2852" s="1" t="n">
        <v>45331</v>
      </c>
      <c r="C2852" s="1" t="n">
        <v>45952</v>
      </c>
      <c r="D2852" t="inlineStr">
        <is>
          <t>ÖREBRO LÄN</t>
        </is>
      </c>
      <c r="E2852" t="inlineStr">
        <is>
          <t>ÖREBRO</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10863-2022</t>
        </is>
      </c>
      <c r="B2853" s="1" t="n">
        <v>44627.6367824074</v>
      </c>
      <c r="C2853" s="1" t="n">
        <v>45952</v>
      </c>
      <c r="D2853" t="inlineStr">
        <is>
          <t>ÖREBRO LÄN</t>
        </is>
      </c>
      <c r="E2853" t="inlineStr">
        <is>
          <t>HALLSBERG</t>
        </is>
      </c>
      <c r="G2853" t="n">
        <v>6.9</v>
      </c>
      <c r="H2853" t="n">
        <v>0</v>
      </c>
      <c r="I2853" t="n">
        <v>0</v>
      </c>
      <c r="J2853" t="n">
        <v>0</v>
      </c>
      <c r="K2853" t="n">
        <v>0</v>
      </c>
      <c r="L2853" t="n">
        <v>0</v>
      </c>
      <c r="M2853" t="n">
        <v>0</v>
      </c>
      <c r="N2853" t="n">
        <v>0</v>
      </c>
      <c r="O2853" t="n">
        <v>0</v>
      </c>
      <c r="P2853" t="n">
        <v>0</v>
      </c>
      <c r="Q2853" t="n">
        <v>0</v>
      </c>
      <c r="R2853" s="2" t="inlineStr"/>
    </row>
    <row r="2854" ht="15" customHeight="1">
      <c r="A2854" t="inlineStr">
        <is>
          <t>A 26443-2024</t>
        </is>
      </c>
      <c r="B2854" s="1" t="n">
        <v>45469.49901620371</v>
      </c>
      <c r="C2854" s="1" t="n">
        <v>45952</v>
      </c>
      <c r="D2854" t="inlineStr">
        <is>
          <t>ÖREBRO LÄN</t>
        </is>
      </c>
      <c r="E2854" t="inlineStr">
        <is>
          <t>ÖREBRO</t>
        </is>
      </c>
      <c r="G2854" t="n">
        <v>5.7</v>
      </c>
      <c r="H2854" t="n">
        <v>0</v>
      </c>
      <c r="I2854" t="n">
        <v>0</v>
      </c>
      <c r="J2854" t="n">
        <v>0</v>
      </c>
      <c r="K2854" t="n">
        <v>0</v>
      </c>
      <c r="L2854" t="n">
        <v>0</v>
      </c>
      <c r="M2854" t="n">
        <v>0</v>
      </c>
      <c r="N2854" t="n">
        <v>0</v>
      </c>
      <c r="O2854" t="n">
        <v>0</v>
      </c>
      <c r="P2854" t="n">
        <v>0</v>
      </c>
      <c r="Q2854" t="n">
        <v>0</v>
      </c>
      <c r="R2854" s="2" t="inlineStr"/>
    </row>
    <row r="2855" ht="15" customHeight="1">
      <c r="A2855" t="inlineStr">
        <is>
          <t>A 5136-2024</t>
        </is>
      </c>
      <c r="B2855" s="1" t="n">
        <v>45330</v>
      </c>
      <c r="C2855" s="1" t="n">
        <v>45952</v>
      </c>
      <c r="D2855" t="inlineStr">
        <is>
          <t>ÖREBRO LÄN</t>
        </is>
      </c>
      <c r="E2855" t="inlineStr">
        <is>
          <t>ÖREBRO</t>
        </is>
      </c>
      <c r="G2855" t="n">
        <v>2.1</v>
      </c>
      <c r="H2855" t="n">
        <v>0</v>
      </c>
      <c r="I2855" t="n">
        <v>0</v>
      </c>
      <c r="J2855" t="n">
        <v>0</v>
      </c>
      <c r="K2855" t="n">
        <v>0</v>
      </c>
      <c r="L2855" t="n">
        <v>0</v>
      </c>
      <c r="M2855" t="n">
        <v>0</v>
      </c>
      <c r="N2855" t="n">
        <v>0</v>
      </c>
      <c r="O2855" t="n">
        <v>0</v>
      </c>
      <c r="P2855" t="n">
        <v>0</v>
      </c>
      <c r="Q2855" t="n">
        <v>0</v>
      </c>
      <c r="R2855" s="2" t="inlineStr"/>
    </row>
    <row r="2856" ht="15" customHeight="1">
      <c r="A2856" t="inlineStr">
        <is>
          <t>A 23346-2022</t>
        </is>
      </c>
      <c r="B2856" s="1" t="n">
        <v>44720</v>
      </c>
      <c r="C2856" s="1" t="n">
        <v>45952</v>
      </c>
      <c r="D2856" t="inlineStr">
        <is>
          <t>ÖREBRO LÄN</t>
        </is>
      </c>
      <c r="E2856" t="inlineStr">
        <is>
          <t>LJUSNARSBERG</t>
        </is>
      </c>
      <c r="F2856" t="inlineStr">
        <is>
          <t>Bergvik skog väst AB</t>
        </is>
      </c>
      <c r="G2856" t="n">
        <v>4.3</v>
      </c>
      <c r="H2856" t="n">
        <v>0</v>
      </c>
      <c r="I2856" t="n">
        <v>0</v>
      </c>
      <c r="J2856" t="n">
        <v>0</v>
      </c>
      <c r="K2856" t="n">
        <v>0</v>
      </c>
      <c r="L2856" t="n">
        <v>0</v>
      </c>
      <c r="M2856" t="n">
        <v>0</v>
      </c>
      <c r="N2856" t="n">
        <v>0</v>
      </c>
      <c r="O2856" t="n">
        <v>0</v>
      </c>
      <c r="P2856" t="n">
        <v>0</v>
      </c>
      <c r="Q2856" t="n">
        <v>0</v>
      </c>
      <c r="R2856" s="2" t="inlineStr"/>
    </row>
    <row r="2857" ht="15" customHeight="1">
      <c r="A2857" t="inlineStr">
        <is>
          <t>A 53035-2022</t>
        </is>
      </c>
      <c r="B2857" s="1" t="n">
        <v>44876.30667824074</v>
      </c>
      <c r="C2857" s="1" t="n">
        <v>45952</v>
      </c>
      <c r="D2857" t="inlineStr">
        <is>
          <t>ÖREBRO LÄN</t>
        </is>
      </c>
      <c r="E2857" t="inlineStr">
        <is>
          <t>HÄLLEFORS</t>
        </is>
      </c>
      <c r="F2857" t="inlineStr">
        <is>
          <t>Bergvik skog väst AB</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35477-2024</t>
        </is>
      </c>
      <c r="B2858" s="1" t="n">
        <v>45531</v>
      </c>
      <c r="C2858" s="1" t="n">
        <v>45952</v>
      </c>
      <c r="D2858" t="inlineStr">
        <is>
          <t>ÖREBRO LÄN</t>
        </is>
      </c>
      <c r="E2858" t="inlineStr">
        <is>
          <t>ÖREBRO</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55727-2024</t>
        </is>
      </c>
      <c r="B2859" s="1" t="n">
        <v>45622.90070601852</v>
      </c>
      <c r="C2859" s="1" t="n">
        <v>45952</v>
      </c>
      <c r="D2859" t="inlineStr">
        <is>
          <t>ÖREBRO LÄN</t>
        </is>
      </c>
      <c r="E2859" t="inlineStr">
        <is>
          <t>LEKEBERG</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33507-2023</t>
        </is>
      </c>
      <c r="B2860" s="1" t="n">
        <v>45131</v>
      </c>
      <c r="C2860" s="1" t="n">
        <v>45952</v>
      </c>
      <c r="D2860" t="inlineStr">
        <is>
          <t>ÖREBRO LÄN</t>
        </is>
      </c>
      <c r="E2860" t="inlineStr">
        <is>
          <t>LINDESBERG</t>
        </is>
      </c>
      <c r="G2860" t="n">
        <v>3.2</v>
      </c>
      <c r="H2860" t="n">
        <v>0</v>
      </c>
      <c r="I2860" t="n">
        <v>0</v>
      </c>
      <c r="J2860" t="n">
        <v>0</v>
      </c>
      <c r="K2860" t="n">
        <v>0</v>
      </c>
      <c r="L2860" t="n">
        <v>0</v>
      </c>
      <c r="M2860" t="n">
        <v>0</v>
      </c>
      <c r="N2860" t="n">
        <v>0</v>
      </c>
      <c r="O2860" t="n">
        <v>0</v>
      </c>
      <c r="P2860" t="n">
        <v>0</v>
      </c>
      <c r="Q2860" t="n">
        <v>0</v>
      </c>
      <c r="R2860" s="2" t="inlineStr"/>
    </row>
    <row r="2861" ht="15" customHeight="1">
      <c r="A2861" t="inlineStr">
        <is>
          <t>A 24030-2023</t>
        </is>
      </c>
      <c r="B2861" s="1" t="n">
        <v>45078.82620370371</v>
      </c>
      <c r="C2861" s="1" t="n">
        <v>45952</v>
      </c>
      <c r="D2861" t="inlineStr">
        <is>
          <t>ÖREBRO LÄN</t>
        </is>
      </c>
      <c r="E2861" t="inlineStr">
        <is>
          <t>LINDESBERG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25098-2023</t>
        </is>
      </c>
      <c r="B2862" s="1" t="n">
        <v>45086.3722337963</v>
      </c>
      <c r="C2862" s="1" t="n">
        <v>45952</v>
      </c>
      <c r="D2862" t="inlineStr">
        <is>
          <t>ÖREBRO LÄN</t>
        </is>
      </c>
      <c r="E2862" t="inlineStr">
        <is>
          <t>LJUSNARSBERG</t>
        </is>
      </c>
      <c r="F2862" t="inlineStr">
        <is>
          <t>Bergvik skog väst AB</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48750-2025</t>
        </is>
      </c>
      <c r="B2863" s="1" t="n">
        <v>45936.68452546297</v>
      </c>
      <c r="C2863" s="1" t="n">
        <v>45952</v>
      </c>
      <c r="D2863" t="inlineStr">
        <is>
          <t>ÖREBRO LÄN</t>
        </is>
      </c>
      <c r="E2863" t="inlineStr">
        <is>
          <t>LINDESBERG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30747-2023</t>
        </is>
      </c>
      <c r="B2864" s="1" t="n">
        <v>45112</v>
      </c>
      <c r="C2864" s="1" t="n">
        <v>45952</v>
      </c>
      <c r="D2864" t="inlineStr">
        <is>
          <t>ÖREBRO LÄN</t>
        </is>
      </c>
      <c r="E2864" t="inlineStr">
        <is>
          <t>LEKEBERG</t>
        </is>
      </c>
      <c r="F2864" t="inlineStr">
        <is>
          <t>Allmännings- och besparingsskogar</t>
        </is>
      </c>
      <c r="G2864" t="n">
        <v>3.8</v>
      </c>
      <c r="H2864" t="n">
        <v>0</v>
      </c>
      <c r="I2864" t="n">
        <v>0</v>
      </c>
      <c r="J2864" t="n">
        <v>0</v>
      </c>
      <c r="K2864" t="n">
        <v>0</v>
      </c>
      <c r="L2864" t="n">
        <v>0</v>
      </c>
      <c r="M2864" t="n">
        <v>0</v>
      </c>
      <c r="N2864" t="n">
        <v>0</v>
      </c>
      <c r="O2864" t="n">
        <v>0</v>
      </c>
      <c r="P2864" t="n">
        <v>0</v>
      </c>
      <c r="Q2864" t="n">
        <v>0</v>
      </c>
      <c r="R2864" s="2" t="inlineStr"/>
    </row>
    <row r="2865" ht="15" customHeight="1">
      <c r="A2865" t="inlineStr">
        <is>
          <t>A 49113-2025</t>
        </is>
      </c>
      <c r="B2865" s="1" t="n">
        <v>45937.75980324074</v>
      </c>
      <c r="C2865" s="1" t="n">
        <v>45952</v>
      </c>
      <c r="D2865" t="inlineStr">
        <is>
          <t>ÖREBRO LÄN</t>
        </is>
      </c>
      <c r="E2865" t="inlineStr">
        <is>
          <t>LAXÅ</t>
        </is>
      </c>
      <c r="F2865" t="inlineStr">
        <is>
          <t>Sveaskog</t>
        </is>
      </c>
      <c r="G2865" t="n">
        <v>4</v>
      </c>
      <c r="H2865" t="n">
        <v>0</v>
      </c>
      <c r="I2865" t="n">
        <v>0</v>
      </c>
      <c r="J2865" t="n">
        <v>0</v>
      </c>
      <c r="K2865" t="n">
        <v>0</v>
      </c>
      <c r="L2865" t="n">
        <v>0</v>
      </c>
      <c r="M2865" t="n">
        <v>0</v>
      </c>
      <c r="N2865" t="n">
        <v>0</v>
      </c>
      <c r="O2865" t="n">
        <v>0</v>
      </c>
      <c r="P2865" t="n">
        <v>0</v>
      </c>
      <c r="Q2865" t="n">
        <v>0</v>
      </c>
      <c r="R2865" s="2" t="inlineStr"/>
    </row>
    <row r="2866" ht="15" customHeight="1">
      <c r="A2866" t="inlineStr">
        <is>
          <t>A 49100-2025</t>
        </is>
      </c>
      <c r="B2866" s="1" t="n">
        <v>45937.71556712963</v>
      </c>
      <c r="C2866" s="1" t="n">
        <v>45952</v>
      </c>
      <c r="D2866" t="inlineStr">
        <is>
          <t>ÖREBRO LÄN</t>
        </is>
      </c>
      <c r="E2866" t="inlineStr">
        <is>
          <t>LINDESBERG</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20352-2025</t>
        </is>
      </c>
      <c r="B2867" s="1" t="n">
        <v>45775.39032407408</v>
      </c>
      <c r="C2867" s="1" t="n">
        <v>45952</v>
      </c>
      <c r="D2867" t="inlineStr">
        <is>
          <t>ÖREBRO LÄN</t>
        </is>
      </c>
      <c r="E2867" t="inlineStr">
        <is>
          <t>HALLSBERG</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21986-2023</t>
        </is>
      </c>
      <c r="B2868" s="1" t="n">
        <v>45068</v>
      </c>
      <c r="C2868" s="1" t="n">
        <v>45952</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23835-2025</t>
        </is>
      </c>
      <c r="B2869" s="1" t="n">
        <v>45793.61047453704</v>
      </c>
      <c r="C2869" s="1" t="n">
        <v>45952</v>
      </c>
      <c r="D2869" t="inlineStr">
        <is>
          <t>ÖREBRO LÄN</t>
        </is>
      </c>
      <c r="E2869" t="inlineStr">
        <is>
          <t>LINDESBERG</t>
        </is>
      </c>
      <c r="F2869" t="inlineStr">
        <is>
          <t>Sveaskog</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40597-2021</t>
        </is>
      </c>
      <c r="B2870" s="1" t="n">
        <v>44420</v>
      </c>
      <c r="C2870" s="1" t="n">
        <v>45952</v>
      </c>
      <c r="D2870" t="inlineStr">
        <is>
          <t>ÖREBRO LÄN</t>
        </is>
      </c>
      <c r="E2870" t="inlineStr">
        <is>
          <t>ÖREBRO</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52506-2024</t>
        </is>
      </c>
      <c r="B2871" s="1" t="n">
        <v>45609</v>
      </c>
      <c r="C2871" s="1" t="n">
        <v>45952</v>
      </c>
      <c r="D2871" t="inlineStr">
        <is>
          <t>ÖREBRO LÄN</t>
        </is>
      </c>
      <c r="E2871" t="inlineStr">
        <is>
          <t>DEGERFORS</t>
        </is>
      </c>
      <c r="F2871" t="inlineStr">
        <is>
          <t>Sveaskog</t>
        </is>
      </c>
      <c r="G2871" t="n">
        <v>3.9</v>
      </c>
      <c r="H2871" t="n">
        <v>0</v>
      </c>
      <c r="I2871" t="n">
        <v>0</v>
      </c>
      <c r="J2871" t="n">
        <v>0</v>
      </c>
      <c r="K2871" t="n">
        <v>0</v>
      </c>
      <c r="L2871" t="n">
        <v>0</v>
      </c>
      <c r="M2871" t="n">
        <v>0</v>
      </c>
      <c r="N2871" t="n">
        <v>0</v>
      </c>
      <c r="O2871" t="n">
        <v>0</v>
      </c>
      <c r="P2871" t="n">
        <v>0</v>
      </c>
      <c r="Q2871" t="n">
        <v>0</v>
      </c>
      <c r="R2871" s="2" t="inlineStr"/>
    </row>
    <row r="2872" ht="15" customHeight="1">
      <c r="A2872" t="inlineStr">
        <is>
          <t>A 52523-2024</t>
        </is>
      </c>
      <c r="B2872" s="1" t="n">
        <v>45609</v>
      </c>
      <c r="C2872" s="1" t="n">
        <v>45952</v>
      </c>
      <c r="D2872" t="inlineStr">
        <is>
          <t>ÖREBRO LÄN</t>
        </is>
      </c>
      <c r="E2872" t="inlineStr">
        <is>
          <t>DEGERFORS</t>
        </is>
      </c>
      <c r="F2872" t="inlineStr">
        <is>
          <t>Sveaskog</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49110-2025</t>
        </is>
      </c>
      <c r="B2873" s="1" t="n">
        <v>45937.75648148148</v>
      </c>
      <c r="C2873" s="1" t="n">
        <v>45952</v>
      </c>
      <c r="D2873" t="inlineStr">
        <is>
          <t>ÖREBRO LÄN</t>
        </is>
      </c>
      <c r="E2873" t="inlineStr">
        <is>
          <t>ASKERSUND</t>
        </is>
      </c>
      <c r="F2873" t="inlineStr">
        <is>
          <t>Sveaskog</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49112-2025</t>
        </is>
      </c>
      <c r="B2874" s="1" t="n">
        <v>45937.75783564815</v>
      </c>
      <c r="C2874" s="1" t="n">
        <v>45952</v>
      </c>
      <c r="D2874" t="inlineStr">
        <is>
          <t>ÖREBRO LÄN</t>
        </is>
      </c>
      <c r="E2874" t="inlineStr">
        <is>
          <t>ASKERSUND</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17815-2025</t>
        </is>
      </c>
      <c r="B2875" s="1" t="n">
        <v>45758.56148148148</v>
      </c>
      <c r="C2875" s="1" t="n">
        <v>45952</v>
      </c>
      <c r="D2875" t="inlineStr">
        <is>
          <t>ÖREBRO LÄN</t>
        </is>
      </c>
      <c r="E2875" t="inlineStr">
        <is>
          <t>KARLSKOGA</t>
        </is>
      </c>
      <c r="F2875" t="inlineStr">
        <is>
          <t>Sveaskog</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40347-2025</t>
        </is>
      </c>
      <c r="B2876" s="1" t="n">
        <v>45895.4790625</v>
      </c>
      <c r="C2876" s="1" t="n">
        <v>45952</v>
      </c>
      <c r="D2876" t="inlineStr">
        <is>
          <t>ÖREBRO LÄN</t>
        </is>
      </c>
      <c r="E2876" t="inlineStr">
        <is>
          <t>LINDESBERG</t>
        </is>
      </c>
      <c r="F2876" t="inlineStr">
        <is>
          <t>Sveaskog</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38344-2024</t>
        </is>
      </c>
      <c r="B2877" s="1" t="n">
        <v>45545</v>
      </c>
      <c r="C2877" s="1" t="n">
        <v>45952</v>
      </c>
      <c r="D2877" t="inlineStr">
        <is>
          <t>ÖREBRO LÄN</t>
        </is>
      </c>
      <c r="E2877" t="inlineStr">
        <is>
          <t>HALLSBERG</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23716-2025</t>
        </is>
      </c>
      <c r="B2878" s="1" t="n">
        <v>45793.39087962963</v>
      </c>
      <c r="C2878" s="1" t="n">
        <v>45952</v>
      </c>
      <c r="D2878" t="inlineStr">
        <is>
          <t>ÖREBRO LÄN</t>
        </is>
      </c>
      <c r="E2878" t="inlineStr">
        <is>
          <t>KARLSKOGA</t>
        </is>
      </c>
      <c r="G2878" t="n">
        <v>6</v>
      </c>
      <c r="H2878" t="n">
        <v>0</v>
      </c>
      <c r="I2878" t="n">
        <v>0</v>
      </c>
      <c r="J2878" t="n">
        <v>0</v>
      </c>
      <c r="K2878" t="n">
        <v>0</v>
      </c>
      <c r="L2878" t="n">
        <v>0</v>
      </c>
      <c r="M2878" t="n">
        <v>0</v>
      </c>
      <c r="N2878" t="n">
        <v>0</v>
      </c>
      <c r="O2878" t="n">
        <v>0</v>
      </c>
      <c r="P2878" t="n">
        <v>0</v>
      </c>
      <c r="Q2878" t="n">
        <v>0</v>
      </c>
      <c r="R2878" s="2" t="inlineStr"/>
    </row>
    <row r="2879" ht="15" customHeight="1">
      <c r="A2879" t="inlineStr">
        <is>
          <t>A 10273-2023</t>
        </is>
      </c>
      <c r="B2879" s="1" t="n">
        <v>44986</v>
      </c>
      <c r="C2879" s="1" t="n">
        <v>45952</v>
      </c>
      <c r="D2879" t="inlineStr">
        <is>
          <t>ÖREBRO LÄN</t>
        </is>
      </c>
      <c r="E2879" t="inlineStr">
        <is>
          <t>LEKEBERG</t>
        </is>
      </c>
      <c r="G2879" t="n">
        <v>12.8</v>
      </c>
      <c r="H2879" t="n">
        <v>0</v>
      </c>
      <c r="I2879" t="n">
        <v>0</v>
      </c>
      <c r="J2879" t="n">
        <v>0</v>
      </c>
      <c r="K2879" t="n">
        <v>0</v>
      </c>
      <c r="L2879" t="n">
        <v>0</v>
      </c>
      <c r="M2879" t="n">
        <v>0</v>
      </c>
      <c r="N2879" t="n">
        <v>0</v>
      </c>
      <c r="O2879" t="n">
        <v>0</v>
      </c>
      <c r="P2879" t="n">
        <v>0</v>
      </c>
      <c r="Q2879" t="n">
        <v>0</v>
      </c>
      <c r="R2879" s="2" t="inlineStr"/>
    </row>
    <row r="2880" ht="15" customHeight="1">
      <c r="A2880" t="inlineStr">
        <is>
          <t>A 40346-2025</t>
        </is>
      </c>
      <c r="B2880" s="1" t="n">
        <v>45895.47704861111</v>
      </c>
      <c r="C2880" s="1" t="n">
        <v>45952</v>
      </c>
      <c r="D2880" t="inlineStr">
        <is>
          <t>ÖREBRO LÄN</t>
        </is>
      </c>
      <c r="E2880" t="inlineStr">
        <is>
          <t>LINDESBERG</t>
        </is>
      </c>
      <c r="F2880" t="inlineStr">
        <is>
          <t>Sveaskog</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40351-2025</t>
        </is>
      </c>
      <c r="B2881" s="1" t="n">
        <v>45895.48394675926</v>
      </c>
      <c r="C2881" s="1" t="n">
        <v>45952</v>
      </c>
      <c r="D2881" t="inlineStr">
        <is>
          <t>ÖREBRO LÄN</t>
        </is>
      </c>
      <c r="E2881" t="inlineStr">
        <is>
          <t>LINDESBERG</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64084-2023</t>
        </is>
      </c>
      <c r="B2882" s="1" t="n">
        <v>45279</v>
      </c>
      <c r="C2882" s="1" t="n">
        <v>45952</v>
      </c>
      <c r="D2882" t="inlineStr">
        <is>
          <t>ÖREBRO LÄN</t>
        </is>
      </c>
      <c r="E2882" t="inlineStr">
        <is>
          <t>LINDESBERG</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4970-2022</t>
        </is>
      </c>
      <c r="B2883" s="1" t="n">
        <v>44593.51175925926</v>
      </c>
      <c r="C2883" s="1" t="n">
        <v>45952</v>
      </c>
      <c r="D2883" t="inlineStr">
        <is>
          <t>ÖREBRO LÄN</t>
        </is>
      </c>
      <c r="E2883" t="inlineStr">
        <is>
          <t>ÖREBRO</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48775-2025</t>
        </is>
      </c>
      <c r="B2884" s="1" t="n">
        <v>45937.00422453704</v>
      </c>
      <c r="C2884" s="1" t="n">
        <v>45952</v>
      </c>
      <c r="D2884" t="inlineStr">
        <is>
          <t>ÖREBRO LÄN</t>
        </is>
      </c>
      <c r="E2884" t="inlineStr">
        <is>
          <t>NORA</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40366-2025</t>
        </is>
      </c>
      <c r="B2885" s="1" t="n">
        <v>45895.49994212963</v>
      </c>
      <c r="C2885" s="1" t="n">
        <v>45952</v>
      </c>
      <c r="D2885" t="inlineStr">
        <is>
          <t>ÖREBRO LÄN</t>
        </is>
      </c>
      <c r="E2885" t="inlineStr">
        <is>
          <t>LINDESBERG</t>
        </is>
      </c>
      <c r="F2885" t="inlineStr">
        <is>
          <t>Sveaskog</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33886-2024</t>
        </is>
      </c>
      <c r="B2886" s="1" t="n">
        <v>45523.31621527778</v>
      </c>
      <c r="C2886" s="1" t="n">
        <v>45952</v>
      </c>
      <c r="D2886" t="inlineStr">
        <is>
          <t>ÖREBRO LÄN</t>
        </is>
      </c>
      <c r="E2886" t="inlineStr">
        <is>
          <t>LINDESBERG</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48420-2025</t>
        </is>
      </c>
      <c r="B2887" s="1" t="n">
        <v>45934.66789351852</v>
      </c>
      <c r="C2887" s="1" t="n">
        <v>45952</v>
      </c>
      <c r="D2887" t="inlineStr">
        <is>
          <t>ÖREBRO LÄN</t>
        </is>
      </c>
      <c r="E2887" t="inlineStr">
        <is>
          <t>ASKERSUND</t>
        </is>
      </c>
      <c r="F2887" t="inlineStr">
        <is>
          <t>Sveaskog</t>
        </is>
      </c>
      <c r="G2887" t="n">
        <v>6.9</v>
      </c>
      <c r="H2887" t="n">
        <v>0</v>
      </c>
      <c r="I2887" t="n">
        <v>0</v>
      </c>
      <c r="J2887" t="n">
        <v>0</v>
      </c>
      <c r="K2887" t="n">
        <v>0</v>
      </c>
      <c r="L2887" t="n">
        <v>0</v>
      </c>
      <c r="M2887" t="n">
        <v>0</v>
      </c>
      <c r="N2887" t="n">
        <v>0</v>
      </c>
      <c r="O2887" t="n">
        <v>0</v>
      </c>
      <c r="P2887" t="n">
        <v>0</v>
      </c>
      <c r="Q2887" t="n">
        <v>0</v>
      </c>
      <c r="R2887" s="2" t="inlineStr"/>
    </row>
    <row r="2888" ht="15" customHeight="1">
      <c r="A2888" t="inlineStr">
        <is>
          <t>A 43046-2022</t>
        </is>
      </c>
      <c r="B2888" s="1" t="n">
        <v>44833</v>
      </c>
      <c r="C2888" s="1" t="n">
        <v>45952</v>
      </c>
      <c r="D2888" t="inlineStr">
        <is>
          <t>ÖREBRO LÄN</t>
        </is>
      </c>
      <c r="E2888" t="inlineStr">
        <is>
          <t>LINDESBERG</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23717-2025</t>
        </is>
      </c>
      <c r="B2889" s="1" t="n">
        <v>45793.39612268518</v>
      </c>
      <c r="C2889" s="1" t="n">
        <v>45952</v>
      </c>
      <c r="D2889" t="inlineStr">
        <is>
          <t>ÖREBRO LÄN</t>
        </is>
      </c>
      <c r="E2889" t="inlineStr">
        <is>
          <t>KARLSKOGA</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48618-2025</t>
        </is>
      </c>
      <c r="B2890" s="1" t="n">
        <v>45936.49026620371</v>
      </c>
      <c r="C2890" s="1" t="n">
        <v>45952</v>
      </c>
      <c r="D2890" t="inlineStr">
        <is>
          <t>ÖREBRO LÄN</t>
        </is>
      </c>
      <c r="E2890" t="inlineStr">
        <is>
          <t>LINDESBERG</t>
        </is>
      </c>
      <c r="F2890" t="inlineStr">
        <is>
          <t>Sveaskog</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14934-2024</t>
        </is>
      </c>
      <c r="B2891" s="1" t="n">
        <v>45398.66583333333</v>
      </c>
      <c r="C2891" s="1" t="n">
        <v>45952</v>
      </c>
      <c r="D2891" t="inlineStr">
        <is>
          <t>ÖREBRO LÄN</t>
        </is>
      </c>
      <c r="E2891" t="inlineStr">
        <is>
          <t>HALLSBERG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48489-2025</t>
        </is>
      </c>
      <c r="B2892" s="1" t="n">
        <v>45936.36637731481</v>
      </c>
      <c r="C2892" s="1" t="n">
        <v>45952</v>
      </c>
      <c r="D2892" t="inlineStr">
        <is>
          <t>ÖREBRO LÄN</t>
        </is>
      </c>
      <c r="E2892" t="inlineStr">
        <is>
          <t>LINDESBERG</t>
        </is>
      </c>
      <c r="F2892" t="inlineStr">
        <is>
          <t>Sveaskog</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48582-2025</t>
        </is>
      </c>
      <c r="B2893" s="1" t="n">
        <v>45936.4577199074</v>
      </c>
      <c r="C2893" s="1" t="n">
        <v>45952</v>
      </c>
      <c r="D2893" t="inlineStr">
        <is>
          <t>ÖREBRO LÄN</t>
        </is>
      </c>
      <c r="E2893" t="inlineStr">
        <is>
          <t>LJUSNARSBERG</t>
        </is>
      </c>
      <c r="F2893" t="inlineStr">
        <is>
          <t>Sveaskog</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48620-2025</t>
        </is>
      </c>
      <c r="B2894" s="1" t="n">
        <v>45936.49210648148</v>
      </c>
      <c r="C2894" s="1" t="n">
        <v>45952</v>
      </c>
      <c r="D2894" t="inlineStr">
        <is>
          <t>ÖREBRO LÄN</t>
        </is>
      </c>
      <c r="E2894" t="inlineStr">
        <is>
          <t>LINDESBERG</t>
        </is>
      </c>
      <c r="F2894" t="inlineStr">
        <is>
          <t>Sveaskog</t>
        </is>
      </c>
      <c r="G2894" t="n">
        <v>5.2</v>
      </c>
      <c r="H2894" t="n">
        <v>0</v>
      </c>
      <c r="I2894" t="n">
        <v>0</v>
      </c>
      <c r="J2894" t="n">
        <v>0</v>
      </c>
      <c r="K2894" t="n">
        <v>0</v>
      </c>
      <c r="L2894" t="n">
        <v>0</v>
      </c>
      <c r="M2894" t="n">
        <v>0</v>
      </c>
      <c r="N2894" t="n">
        <v>0</v>
      </c>
      <c r="O2894" t="n">
        <v>0</v>
      </c>
      <c r="P2894" t="n">
        <v>0</v>
      </c>
      <c r="Q2894" t="n">
        <v>0</v>
      </c>
      <c r="R2894" s="2" t="inlineStr"/>
    </row>
    <row r="2895" ht="15" customHeight="1">
      <c r="A2895" t="inlineStr">
        <is>
          <t>A 48625-2025</t>
        </is>
      </c>
      <c r="B2895" s="1" t="n">
        <v>45936.50938657407</v>
      </c>
      <c r="C2895" s="1" t="n">
        <v>45952</v>
      </c>
      <c r="D2895" t="inlineStr">
        <is>
          <t>ÖREBRO LÄN</t>
        </is>
      </c>
      <c r="E2895" t="inlineStr">
        <is>
          <t>DEGERFORS</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9537-2025</t>
        </is>
      </c>
      <c r="B2896" s="1" t="n">
        <v>45715.57903935185</v>
      </c>
      <c r="C2896" s="1" t="n">
        <v>45952</v>
      </c>
      <c r="D2896" t="inlineStr">
        <is>
          <t>ÖREBRO LÄN</t>
        </is>
      </c>
      <c r="E2896" t="inlineStr">
        <is>
          <t>HÄLLEFORS</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48534-2025</t>
        </is>
      </c>
      <c r="B2897" s="1" t="n">
        <v>45934</v>
      </c>
      <c r="C2897" s="1" t="n">
        <v>45952</v>
      </c>
      <c r="D2897" t="inlineStr">
        <is>
          <t>ÖREBRO LÄN</t>
        </is>
      </c>
      <c r="E2897" t="inlineStr">
        <is>
          <t>LJUSNARSBERG</t>
        </is>
      </c>
      <c r="F2897" t="inlineStr">
        <is>
          <t>Bergvik skog väst AB</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48540-2025</t>
        </is>
      </c>
      <c r="B2898" s="1" t="n">
        <v>45934</v>
      </c>
      <c r="C2898" s="1" t="n">
        <v>45952</v>
      </c>
      <c r="D2898" t="inlineStr">
        <is>
          <t>ÖREBRO LÄN</t>
        </is>
      </c>
      <c r="E2898" t="inlineStr">
        <is>
          <t>LJUSNARSBERG</t>
        </is>
      </c>
      <c r="F2898" t="inlineStr">
        <is>
          <t>Bergvik skog väst AB</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50378-2024</t>
        </is>
      </c>
      <c r="B2899" s="1" t="n">
        <v>45601.2984375</v>
      </c>
      <c r="C2899" s="1" t="n">
        <v>45952</v>
      </c>
      <c r="D2899" t="inlineStr">
        <is>
          <t>ÖREBRO LÄN</t>
        </is>
      </c>
      <c r="E2899" t="inlineStr">
        <is>
          <t>DEGERFORS</t>
        </is>
      </c>
      <c r="F2899" t="inlineStr">
        <is>
          <t>Sveaskog</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33293-2023</t>
        </is>
      </c>
      <c r="B2900" s="1" t="n">
        <v>45116</v>
      </c>
      <c r="C2900" s="1" t="n">
        <v>45952</v>
      </c>
      <c r="D2900" t="inlineStr">
        <is>
          <t>ÖREBRO LÄN</t>
        </is>
      </c>
      <c r="E2900" t="inlineStr">
        <is>
          <t>DEGERFORS</t>
        </is>
      </c>
      <c r="G2900" t="n">
        <v>17.2</v>
      </c>
      <c r="H2900" t="n">
        <v>0</v>
      </c>
      <c r="I2900" t="n">
        <v>0</v>
      </c>
      <c r="J2900" t="n">
        <v>0</v>
      </c>
      <c r="K2900" t="n">
        <v>0</v>
      </c>
      <c r="L2900" t="n">
        <v>0</v>
      </c>
      <c r="M2900" t="n">
        <v>0</v>
      </c>
      <c r="N2900" t="n">
        <v>0</v>
      </c>
      <c r="O2900" t="n">
        <v>0</v>
      </c>
      <c r="P2900" t="n">
        <v>0</v>
      </c>
      <c r="Q2900" t="n">
        <v>0</v>
      </c>
      <c r="R2900" s="2" t="inlineStr"/>
    </row>
    <row r="2901" ht="15" customHeight="1">
      <c r="A2901" t="inlineStr">
        <is>
          <t>A 67829-2020</t>
        </is>
      </c>
      <c r="B2901" s="1" t="n">
        <v>44182</v>
      </c>
      <c r="C2901" s="1" t="n">
        <v>45952</v>
      </c>
      <c r="D2901" t="inlineStr">
        <is>
          <t>ÖREBRO LÄN</t>
        </is>
      </c>
      <c r="E2901" t="inlineStr">
        <is>
          <t>LAXÅ</t>
        </is>
      </c>
      <c r="F2901" t="inlineStr">
        <is>
          <t>Sveaskog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67849-2020</t>
        </is>
      </c>
      <c r="B2902" s="1" t="n">
        <v>44182</v>
      </c>
      <c r="C2902" s="1" t="n">
        <v>45952</v>
      </c>
      <c r="D2902" t="inlineStr">
        <is>
          <t>ÖREBRO LÄN</t>
        </is>
      </c>
      <c r="E2902" t="inlineStr">
        <is>
          <t>LAXÅ</t>
        </is>
      </c>
      <c r="F2902" t="inlineStr">
        <is>
          <t>Sveaskog</t>
        </is>
      </c>
      <c r="G2902" t="n">
        <v>6</v>
      </c>
      <c r="H2902" t="n">
        <v>0</v>
      </c>
      <c r="I2902" t="n">
        <v>0</v>
      </c>
      <c r="J2902" t="n">
        <v>0</v>
      </c>
      <c r="K2902" t="n">
        <v>0</v>
      </c>
      <c r="L2902" t="n">
        <v>0</v>
      </c>
      <c r="M2902" t="n">
        <v>0</v>
      </c>
      <c r="N2902" t="n">
        <v>0</v>
      </c>
      <c r="O2902" t="n">
        <v>0</v>
      </c>
      <c r="P2902" t="n">
        <v>0</v>
      </c>
      <c r="Q2902" t="n">
        <v>0</v>
      </c>
      <c r="R2902" s="2" t="inlineStr"/>
    </row>
    <row r="2903" ht="15" customHeight="1">
      <c r="A2903" t="inlineStr">
        <is>
          <t>A 67859-2020</t>
        </is>
      </c>
      <c r="B2903" s="1" t="n">
        <v>44182</v>
      </c>
      <c r="C2903" s="1" t="n">
        <v>45952</v>
      </c>
      <c r="D2903" t="inlineStr">
        <is>
          <t>ÖREBRO LÄN</t>
        </is>
      </c>
      <c r="E2903" t="inlineStr">
        <is>
          <t>LAXÅ</t>
        </is>
      </c>
      <c r="F2903" t="inlineStr">
        <is>
          <t>Sveaskog</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40082-2025</t>
        </is>
      </c>
      <c r="B2904" s="1" t="n">
        <v>45894.46731481481</v>
      </c>
      <c r="C2904" s="1" t="n">
        <v>45952</v>
      </c>
      <c r="D2904" t="inlineStr">
        <is>
          <t>ÖREBRO LÄN</t>
        </is>
      </c>
      <c r="E2904" t="inlineStr">
        <is>
          <t>NORA</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53887-2024</t>
        </is>
      </c>
      <c r="B2905" s="1" t="n">
        <v>45614</v>
      </c>
      <c r="C2905" s="1" t="n">
        <v>45952</v>
      </c>
      <c r="D2905" t="inlineStr">
        <is>
          <t>ÖREBRO LÄN</t>
        </is>
      </c>
      <c r="E2905" t="inlineStr">
        <is>
          <t>LJUSNARSBERG</t>
        </is>
      </c>
      <c r="G2905" t="n">
        <v>7.1</v>
      </c>
      <c r="H2905" t="n">
        <v>0</v>
      </c>
      <c r="I2905" t="n">
        <v>0</v>
      </c>
      <c r="J2905" t="n">
        <v>0</v>
      </c>
      <c r="K2905" t="n">
        <v>0</v>
      </c>
      <c r="L2905" t="n">
        <v>0</v>
      </c>
      <c r="M2905" t="n">
        <v>0</v>
      </c>
      <c r="N2905" t="n">
        <v>0</v>
      </c>
      <c r="O2905" t="n">
        <v>0</v>
      </c>
      <c r="P2905" t="n">
        <v>0</v>
      </c>
      <c r="Q2905" t="n">
        <v>0</v>
      </c>
      <c r="R2905" s="2" t="inlineStr"/>
    </row>
    <row r="2906" ht="15" customHeight="1">
      <c r="A2906" t="inlineStr">
        <is>
          <t>A 62667-2022</t>
        </is>
      </c>
      <c r="B2906" s="1" t="n">
        <v>44917</v>
      </c>
      <c r="C2906" s="1" t="n">
        <v>45952</v>
      </c>
      <c r="D2906" t="inlineStr">
        <is>
          <t>ÖREBRO LÄN</t>
        </is>
      </c>
      <c r="E2906" t="inlineStr">
        <is>
          <t>LJUSNARSBERG</t>
        </is>
      </c>
      <c r="F2906" t="inlineStr">
        <is>
          <t>Bergvik skog väst AB</t>
        </is>
      </c>
      <c r="G2906" t="n">
        <v>7.1</v>
      </c>
      <c r="H2906" t="n">
        <v>0</v>
      </c>
      <c r="I2906" t="n">
        <v>0</v>
      </c>
      <c r="J2906" t="n">
        <v>0</v>
      </c>
      <c r="K2906" t="n">
        <v>0</v>
      </c>
      <c r="L2906" t="n">
        <v>0</v>
      </c>
      <c r="M2906" t="n">
        <v>0</v>
      </c>
      <c r="N2906" t="n">
        <v>0</v>
      </c>
      <c r="O2906" t="n">
        <v>0</v>
      </c>
      <c r="P2906" t="n">
        <v>0</v>
      </c>
      <c r="Q2906" t="n">
        <v>0</v>
      </c>
      <c r="R2906" s="2" t="inlineStr"/>
    </row>
    <row r="2907" ht="15" customHeight="1">
      <c r="A2907" t="inlineStr">
        <is>
          <t>A 40063-2025</t>
        </is>
      </c>
      <c r="B2907" s="1" t="n">
        <v>45894.4325</v>
      </c>
      <c r="C2907" s="1" t="n">
        <v>45952</v>
      </c>
      <c r="D2907" t="inlineStr">
        <is>
          <t>ÖREBRO LÄN</t>
        </is>
      </c>
      <c r="E2907" t="inlineStr">
        <is>
          <t>HALLSBERG</t>
        </is>
      </c>
      <c r="F2907" t="inlineStr">
        <is>
          <t>Sveaskog</t>
        </is>
      </c>
      <c r="G2907" t="n">
        <v>6</v>
      </c>
      <c r="H2907" t="n">
        <v>0</v>
      </c>
      <c r="I2907" t="n">
        <v>0</v>
      </c>
      <c r="J2907" t="n">
        <v>0</v>
      </c>
      <c r="K2907" t="n">
        <v>0</v>
      </c>
      <c r="L2907" t="n">
        <v>0</v>
      </c>
      <c r="M2907" t="n">
        <v>0</v>
      </c>
      <c r="N2907" t="n">
        <v>0</v>
      </c>
      <c r="O2907" t="n">
        <v>0</v>
      </c>
      <c r="P2907" t="n">
        <v>0</v>
      </c>
      <c r="Q2907" t="n">
        <v>0</v>
      </c>
      <c r="R2907" s="2" t="inlineStr"/>
    </row>
    <row r="2908" ht="15" customHeight="1">
      <c r="A2908" t="inlineStr">
        <is>
          <t>A 17770-2022</t>
        </is>
      </c>
      <c r="B2908" s="1" t="n">
        <v>44682.64953703704</v>
      </c>
      <c r="C2908" s="1" t="n">
        <v>45952</v>
      </c>
      <c r="D2908" t="inlineStr">
        <is>
          <t>ÖREBRO LÄN</t>
        </is>
      </c>
      <c r="E2908" t="inlineStr">
        <is>
          <t>NORA</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49111-2025</t>
        </is>
      </c>
      <c r="B2909" s="1" t="n">
        <v>45937.75732638889</v>
      </c>
      <c r="C2909" s="1" t="n">
        <v>45952</v>
      </c>
      <c r="D2909" t="inlineStr">
        <is>
          <t>ÖREBRO LÄN</t>
        </is>
      </c>
      <c r="E2909" t="inlineStr">
        <is>
          <t>ASKERSUND</t>
        </is>
      </c>
      <c r="F2909" t="inlineStr">
        <is>
          <t>Sveaskog</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2318-2023</t>
        </is>
      </c>
      <c r="B2910" s="1" t="n">
        <v>44942</v>
      </c>
      <c r="C2910" s="1" t="n">
        <v>45952</v>
      </c>
      <c r="D2910" t="inlineStr">
        <is>
          <t>ÖREBRO LÄN</t>
        </is>
      </c>
      <c r="E2910" t="inlineStr">
        <is>
          <t>ÖREBRO</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49091-2025</t>
        </is>
      </c>
      <c r="B2911" s="1" t="n">
        <v>45937.6756712963</v>
      </c>
      <c r="C2911" s="1" t="n">
        <v>45952</v>
      </c>
      <c r="D2911" t="inlineStr">
        <is>
          <t>ÖREBRO LÄN</t>
        </is>
      </c>
      <c r="E2911" t="inlineStr">
        <is>
          <t>HALLSBERG</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4779-2023</t>
        </is>
      </c>
      <c r="B2912" s="1" t="n">
        <v>44957</v>
      </c>
      <c r="C2912" s="1" t="n">
        <v>45952</v>
      </c>
      <c r="D2912" t="inlineStr">
        <is>
          <t>ÖREBRO LÄN</t>
        </is>
      </c>
      <c r="E2912" t="inlineStr">
        <is>
          <t>ASKERSUND</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44010-2023</t>
        </is>
      </c>
      <c r="B2913" s="1" t="n">
        <v>45188</v>
      </c>
      <c r="C2913" s="1" t="n">
        <v>45952</v>
      </c>
      <c r="D2913" t="inlineStr">
        <is>
          <t>ÖREBRO LÄN</t>
        </is>
      </c>
      <c r="E2913" t="inlineStr">
        <is>
          <t>LINDESBERG</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62866-2023</t>
        </is>
      </c>
      <c r="B2914" s="1" t="n">
        <v>45272.36168981482</v>
      </c>
      <c r="C2914" s="1" t="n">
        <v>45952</v>
      </c>
      <c r="D2914" t="inlineStr">
        <is>
          <t>ÖREBRO LÄN</t>
        </is>
      </c>
      <c r="E2914" t="inlineStr">
        <is>
          <t>LINDESBERG</t>
        </is>
      </c>
      <c r="G2914" t="n">
        <v>14.5</v>
      </c>
      <c r="H2914" t="n">
        <v>0</v>
      </c>
      <c r="I2914" t="n">
        <v>0</v>
      </c>
      <c r="J2914" t="n">
        <v>0</v>
      </c>
      <c r="K2914" t="n">
        <v>0</v>
      </c>
      <c r="L2914" t="n">
        <v>0</v>
      </c>
      <c r="M2914" t="n">
        <v>0</v>
      </c>
      <c r="N2914" t="n">
        <v>0</v>
      </c>
      <c r="O2914" t="n">
        <v>0</v>
      </c>
      <c r="P2914" t="n">
        <v>0</v>
      </c>
      <c r="Q2914" t="n">
        <v>0</v>
      </c>
      <c r="R2914" s="2" t="inlineStr"/>
    </row>
    <row r="2915" ht="15" customHeight="1">
      <c r="A2915" t="inlineStr">
        <is>
          <t>A 40477-2025</t>
        </is>
      </c>
      <c r="B2915" s="1" t="n">
        <v>45895</v>
      </c>
      <c r="C2915" s="1" t="n">
        <v>45952</v>
      </c>
      <c r="D2915" t="inlineStr">
        <is>
          <t>ÖREBRO LÄN</t>
        </is>
      </c>
      <c r="E2915" t="inlineStr">
        <is>
          <t>LJUSNARSBERG</t>
        </is>
      </c>
      <c r="F2915" t="inlineStr">
        <is>
          <t>Bergvik skog väst AB</t>
        </is>
      </c>
      <c r="G2915" t="n">
        <v>11.9</v>
      </c>
      <c r="H2915" t="n">
        <v>0</v>
      </c>
      <c r="I2915" t="n">
        <v>0</v>
      </c>
      <c r="J2915" t="n">
        <v>0</v>
      </c>
      <c r="K2915" t="n">
        <v>0</v>
      </c>
      <c r="L2915" t="n">
        <v>0</v>
      </c>
      <c r="M2915" t="n">
        <v>0</v>
      </c>
      <c r="N2915" t="n">
        <v>0</v>
      </c>
      <c r="O2915" t="n">
        <v>0</v>
      </c>
      <c r="P2915" t="n">
        <v>0</v>
      </c>
      <c r="Q2915" t="n">
        <v>0</v>
      </c>
      <c r="R2915" s="2" t="inlineStr"/>
    </row>
    <row r="2916" ht="15" customHeight="1">
      <c r="A2916" t="inlineStr">
        <is>
          <t>A 48495-2025</t>
        </is>
      </c>
      <c r="B2916" s="1" t="n">
        <v>45936.37237268518</v>
      </c>
      <c r="C2916" s="1" t="n">
        <v>45952</v>
      </c>
      <c r="D2916" t="inlineStr">
        <is>
          <t>ÖREBRO LÄN</t>
        </is>
      </c>
      <c r="E2916" t="inlineStr">
        <is>
          <t>LINDESBERG</t>
        </is>
      </c>
      <c r="F2916" t="inlineStr">
        <is>
          <t>Sveaskog</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48454-2025</t>
        </is>
      </c>
      <c r="B2917" s="1" t="n">
        <v>45935.80164351852</v>
      </c>
      <c r="C2917" s="1" t="n">
        <v>45952</v>
      </c>
      <c r="D2917" t="inlineStr">
        <is>
          <t>ÖREBRO LÄN</t>
        </is>
      </c>
      <c r="E2917" t="inlineStr">
        <is>
          <t>ÖREBRO</t>
        </is>
      </c>
      <c r="F2917" t="inlineStr">
        <is>
          <t>Övriga Aktiebolag</t>
        </is>
      </c>
      <c r="G2917" t="n">
        <v>18.1</v>
      </c>
      <c r="H2917" t="n">
        <v>0</v>
      </c>
      <c r="I2917" t="n">
        <v>0</v>
      </c>
      <c r="J2917" t="n">
        <v>0</v>
      </c>
      <c r="K2917" t="n">
        <v>0</v>
      </c>
      <c r="L2917" t="n">
        <v>0</v>
      </c>
      <c r="M2917" t="n">
        <v>0</v>
      </c>
      <c r="N2917" t="n">
        <v>0</v>
      </c>
      <c r="O2917" t="n">
        <v>0</v>
      </c>
      <c r="P2917" t="n">
        <v>0</v>
      </c>
      <c r="Q2917" t="n">
        <v>0</v>
      </c>
      <c r="R2917" s="2" t="inlineStr"/>
    </row>
    <row r="2918" ht="15" customHeight="1">
      <c r="A2918" t="inlineStr">
        <is>
          <t>A 47941-2024</t>
        </is>
      </c>
      <c r="B2918" s="1" t="n">
        <v>45589.34931712963</v>
      </c>
      <c r="C2918" s="1" t="n">
        <v>45952</v>
      </c>
      <c r="D2918" t="inlineStr">
        <is>
          <t>ÖREBRO LÄN</t>
        </is>
      </c>
      <c r="E2918" t="inlineStr">
        <is>
          <t>DEGERFORS</t>
        </is>
      </c>
      <c r="F2918" t="inlineStr">
        <is>
          <t>Sveaskog</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48461-2025</t>
        </is>
      </c>
      <c r="B2919" s="1" t="n">
        <v>45935.99478009259</v>
      </c>
      <c r="C2919" s="1" t="n">
        <v>45952</v>
      </c>
      <c r="D2919" t="inlineStr">
        <is>
          <t>ÖREBRO LÄN</t>
        </is>
      </c>
      <c r="E2919" t="inlineStr">
        <is>
          <t>LAXÅ</t>
        </is>
      </c>
      <c r="F2919" t="inlineStr">
        <is>
          <t>Sveaskog</t>
        </is>
      </c>
      <c r="G2919" t="n">
        <v>2.6</v>
      </c>
      <c r="H2919" t="n">
        <v>0</v>
      </c>
      <c r="I2919" t="n">
        <v>0</v>
      </c>
      <c r="J2919" t="n">
        <v>0</v>
      </c>
      <c r="K2919" t="n">
        <v>0</v>
      </c>
      <c r="L2919" t="n">
        <v>0</v>
      </c>
      <c r="M2919" t="n">
        <v>0</v>
      </c>
      <c r="N2919" t="n">
        <v>0</v>
      </c>
      <c r="O2919" t="n">
        <v>0</v>
      </c>
      <c r="P2919" t="n">
        <v>0</v>
      </c>
      <c r="Q2919" t="n">
        <v>0</v>
      </c>
      <c r="R2919" s="2" t="inlineStr"/>
    </row>
    <row r="2920" ht="15" customHeight="1">
      <c r="A2920" t="inlineStr">
        <is>
          <t>A 28415-2025</t>
        </is>
      </c>
      <c r="B2920" s="1" t="n">
        <v>45819.35181712963</v>
      </c>
      <c r="C2920" s="1" t="n">
        <v>45952</v>
      </c>
      <c r="D2920" t="inlineStr">
        <is>
          <t>ÖREBRO LÄN</t>
        </is>
      </c>
      <c r="E2920" t="inlineStr">
        <is>
          <t>LAXÅ</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13657-2025</t>
        </is>
      </c>
      <c r="B2921" s="1" t="n">
        <v>45736.7427662037</v>
      </c>
      <c r="C2921" s="1" t="n">
        <v>45952</v>
      </c>
      <c r="D2921" t="inlineStr">
        <is>
          <t>ÖREBRO LÄN</t>
        </is>
      </c>
      <c r="E2921" t="inlineStr">
        <is>
          <t>ÖREBRO</t>
        </is>
      </c>
      <c r="G2921" t="n">
        <v>3.8</v>
      </c>
      <c r="H2921" t="n">
        <v>0</v>
      </c>
      <c r="I2921" t="n">
        <v>0</v>
      </c>
      <c r="J2921" t="n">
        <v>0</v>
      </c>
      <c r="K2921" t="n">
        <v>0</v>
      </c>
      <c r="L2921" t="n">
        <v>0</v>
      </c>
      <c r="M2921" t="n">
        <v>0</v>
      </c>
      <c r="N2921" t="n">
        <v>0</v>
      </c>
      <c r="O2921" t="n">
        <v>0</v>
      </c>
      <c r="P2921" t="n">
        <v>0</v>
      </c>
      <c r="Q2921" t="n">
        <v>0</v>
      </c>
      <c r="R2921" s="2" t="inlineStr"/>
    </row>
    <row r="2922" ht="15" customHeight="1">
      <c r="A2922" t="inlineStr">
        <is>
          <t>A 6-2023</t>
        </is>
      </c>
      <c r="B2922" s="1" t="n">
        <v>44927.72487268518</v>
      </c>
      <c r="C2922" s="1" t="n">
        <v>45952</v>
      </c>
      <c r="D2922" t="inlineStr">
        <is>
          <t>ÖREBRO LÄN</t>
        </is>
      </c>
      <c r="E2922" t="inlineStr">
        <is>
          <t>LINDESBERG</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13729-2025</t>
        </is>
      </c>
      <c r="B2923" s="1" t="n">
        <v>45737.3846412037</v>
      </c>
      <c r="C2923" s="1" t="n">
        <v>45952</v>
      </c>
      <c r="D2923" t="inlineStr">
        <is>
          <t>ÖREBRO LÄN</t>
        </is>
      </c>
      <c r="E2923" t="inlineStr">
        <is>
          <t>LINDESBERG</t>
        </is>
      </c>
      <c r="F2923" t="inlineStr">
        <is>
          <t>Sveaskog</t>
        </is>
      </c>
      <c r="G2923" t="n">
        <v>5.4</v>
      </c>
      <c r="H2923" t="n">
        <v>0</v>
      </c>
      <c r="I2923" t="n">
        <v>0</v>
      </c>
      <c r="J2923" t="n">
        <v>0</v>
      </c>
      <c r="K2923" t="n">
        <v>0</v>
      </c>
      <c r="L2923" t="n">
        <v>0</v>
      </c>
      <c r="M2923" t="n">
        <v>0</v>
      </c>
      <c r="N2923" t="n">
        <v>0</v>
      </c>
      <c r="O2923" t="n">
        <v>0</v>
      </c>
      <c r="P2923" t="n">
        <v>0</v>
      </c>
      <c r="Q2923" t="n">
        <v>0</v>
      </c>
      <c r="R2923" s="2" t="inlineStr"/>
    </row>
    <row r="2924" ht="15" customHeight="1">
      <c r="A2924" t="inlineStr">
        <is>
          <t>A 37604-2025</t>
        </is>
      </c>
      <c r="B2924" s="1" t="n">
        <v>45880</v>
      </c>
      <c r="C2924" s="1" t="n">
        <v>45952</v>
      </c>
      <c r="D2924" t="inlineStr">
        <is>
          <t>ÖREBRO LÄN</t>
        </is>
      </c>
      <c r="E2924" t="inlineStr">
        <is>
          <t>LINDESBERG</t>
        </is>
      </c>
      <c r="G2924" t="n">
        <v>6.3</v>
      </c>
      <c r="H2924" t="n">
        <v>0</v>
      </c>
      <c r="I2924" t="n">
        <v>0</v>
      </c>
      <c r="J2924" t="n">
        <v>0</v>
      </c>
      <c r="K2924" t="n">
        <v>0</v>
      </c>
      <c r="L2924" t="n">
        <v>0</v>
      </c>
      <c r="M2924" t="n">
        <v>0</v>
      </c>
      <c r="N2924" t="n">
        <v>0</v>
      </c>
      <c r="O2924" t="n">
        <v>0</v>
      </c>
      <c r="P2924" t="n">
        <v>0</v>
      </c>
      <c r="Q2924" t="n">
        <v>0</v>
      </c>
      <c r="R2924" s="2" t="inlineStr"/>
    </row>
    <row r="2925" ht="15" customHeight="1">
      <c r="A2925" t="inlineStr">
        <is>
          <t>A 40442-2024</t>
        </is>
      </c>
      <c r="B2925" s="1" t="n">
        <v>45555.48539351852</v>
      </c>
      <c r="C2925" s="1" t="n">
        <v>45952</v>
      </c>
      <c r="D2925" t="inlineStr">
        <is>
          <t>ÖREBRO LÄN</t>
        </is>
      </c>
      <c r="E2925" t="inlineStr">
        <is>
          <t>LJUSNARSBERG</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27814-2025</t>
        </is>
      </c>
      <c r="B2926" s="1" t="n">
        <v>45817.32715277778</v>
      </c>
      <c r="C2926" s="1" t="n">
        <v>45952</v>
      </c>
      <c r="D2926" t="inlineStr">
        <is>
          <t>ÖREBRO LÄN</t>
        </is>
      </c>
      <c r="E2926" t="inlineStr">
        <is>
          <t>ASKERSUND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41353-2024</t>
        </is>
      </c>
      <c r="B2927" s="1" t="n">
        <v>45559</v>
      </c>
      <c r="C2927" s="1" t="n">
        <v>45952</v>
      </c>
      <c r="D2927" t="inlineStr">
        <is>
          <t>ÖREBRO LÄN</t>
        </is>
      </c>
      <c r="E2927" t="inlineStr">
        <is>
          <t>LINDESBERG</t>
        </is>
      </c>
      <c r="F2927" t="inlineStr">
        <is>
          <t>Sveaskog</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48971-2025</t>
        </is>
      </c>
      <c r="B2928" s="1" t="n">
        <v>45937.56420138889</v>
      </c>
      <c r="C2928" s="1" t="n">
        <v>45952</v>
      </c>
      <c r="D2928" t="inlineStr">
        <is>
          <t>ÖREBRO LÄN</t>
        </is>
      </c>
      <c r="E2928" t="inlineStr">
        <is>
          <t>LINDESBERG</t>
        </is>
      </c>
      <c r="F2928" t="inlineStr">
        <is>
          <t>Sveaskog</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9314-2023</t>
        </is>
      </c>
      <c r="B2929" s="1" t="n">
        <v>44980.67747685185</v>
      </c>
      <c r="C2929" s="1" t="n">
        <v>45952</v>
      </c>
      <c r="D2929" t="inlineStr">
        <is>
          <t>ÖREBRO LÄN</t>
        </is>
      </c>
      <c r="E2929" t="inlineStr">
        <is>
          <t>ÖREBRO</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48969-2025</t>
        </is>
      </c>
      <c r="B2930" s="1" t="n">
        <v>45937.56372685185</v>
      </c>
      <c r="C2930" s="1" t="n">
        <v>45952</v>
      </c>
      <c r="D2930" t="inlineStr">
        <is>
          <t>ÖREBRO LÄN</t>
        </is>
      </c>
      <c r="E2930" t="inlineStr">
        <is>
          <t>LJUSNARSBERG</t>
        </is>
      </c>
      <c r="G2930" t="n">
        <v>4.8</v>
      </c>
      <c r="H2930" t="n">
        <v>0</v>
      </c>
      <c r="I2930" t="n">
        <v>0</v>
      </c>
      <c r="J2930" t="n">
        <v>0</v>
      </c>
      <c r="K2930" t="n">
        <v>0</v>
      </c>
      <c r="L2930" t="n">
        <v>0</v>
      </c>
      <c r="M2930" t="n">
        <v>0</v>
      </c>
      <c r="N2930" t="n">
        <v>0</v>
      </c>
      <c r="O2930" t="n">
        <v>0</v>
      </c>
      <c r="P2930" t="n">
        <v>0</v>
      </c>
      <c r="Q2930" t="n">
        <v>0</v>
      </c>
      <c r="R2930" s="2" t="inlineStr"/>
    </row>
    <row r="2931" ht="15" customHeight="1">
      <c r="A2931" t="inlineStr">
        <is>
          <t>A 23844-2025</t>
        </is>
      </c>
      <c r="B2931" s="1" t="n">
        <v>45793.62422453704</v>
      </c>
      <c r="C2931" s="1" t="n">
        <v>45952</v>
      </c>
      <c r="D2931" t="inlineStr">
        <is>
          <t>ÖREBRO LÄN</t>
        </is>
      </c>
      <c r="E2931" t="inlineStr">
        <is>
          <t>LINDESBERG</t>
        </is>
      </c>
      <c r="F2931" t="inlineStr">
        <is>
          <t>Sveaskog</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48993-2025</t>
        </is>
      </c>
      <c r="B2932" s="1" t="n">
        <v>45937.58590277778</v>
      </c>
      <c r="C2932" s="1" t="n">
        <v>45952</v>
      </c>
      <c r="D2932" t="inlineStr">
        <is>
          <t>ÖREBRO LÄN</t>
        </is>
      </c>
      <c r="E2932" t="inlineStr">
        <is>
          <t>LINDESBERG</t>
        </is>
      </c>
      <c r="F2932" t="inlineStr">
        <is>
          <t>Kyrkan</t>
        </is>
      </c>
      <c r="G2932" t="n">
        <v>4</v>
      </c>
      <c r="H2932" t="n">
        <v>0</v>
      </c>
      <c r="I2932" t="n">
        <v>0</v>
      </c>
      <c r="J2932" t="n">
        <v>0</v>
      </c>
      <c r="K2932" t="n">
        <v>0</v>
      </c>
      <c r="L2932" t="n">
        <v>0</v>
      </c>
      <c r="M2932" t="n">
        <v>0</v>
      </c>
      <c r="N2932" t="n">
        <v>0</v>
      </c>
      <c r="O2932" t="n">
        <v>0</v>
      </c>
      <c r="P2932" t="n">
        <v>0</v>
      </c>
      <c r="Q2932" t="n">
        <v>0</v>
      </c>
      <c r="R2932" s="2" t="inlineStr"/>
    </row>
    <row r="2933" ht="15" customHeight="1">
      <c r="A2933" t="inlineStr">
        <is>
          <t>A 5417-2025</t>
        </is>
      </c>
      <c r="B2933" s="1" t="n">
        <v>45692</v>
      </c>
      <c r="C2933" s="1" t="n">
        <v>45952</v>
      </c>
      <c r="D2933" t="inlineStr">
        <is>
          <t>ÖREBRO LÄN</t>
        </is>
      </c>
      <c r="E2933" t="inlineStr">
        <is>
          <t>ASKERSUND</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24186-2024</t>
        </is>
      </c>
      <c r="B2934" s="1" t="n">
        <v>45456.90869212963</v>
      </c>
      <c r="C2934" s="1" t="n">
        <v>45952</v>
      </c>
      <c r="D2934" t="inlineStr">
        <is>
          <t>ÖREBRO LÄN</t>
        </is>
      </c>
      <c r="E2934" t="inlineStr">
        <is>
          <t>LINDESBERG</t>
        </is>
      </c>
      <c r="F2934" t="inlineStr">
        <is>
          <t>Sveaskog</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39952-2024</t>
        </is>
      </c>
      <c r="B2935" s="1" t="n">
        <v>45553</v>
      </c>
      <c r="C2935" s="1" t="n">
        <v>45952</v>
      </c>
      <c r="D2935" t="inlineStr">
        <is>
          <t>ÖREBRO LÄN</t>
        </is>
      </c>
      <c r="E2935" t="inlineStr">
        <is>
          <t>LAXÅ</t>
        </is>
      </c>
      <c r="F2935" t="inlineStr">
        <is>
          <t>Sveaskog</t>
        </is>
      </c>
      <c r="G2935" t="n">
        <v>2.9</v>
      </c>
      <c r="H2935" t="n">
        <v>0</v>
      </c>
      <c r="I2935" t="n">
        <v>0</v>
      </c>
      <c r="J2935" t="n">
        <v>0</v>
      </c>
      <c r="K2935" t="n">
        <v>0</v>
      </c>
      <c r="L2935" t="n">
        <v>0</v>
      </c>
      <c r="M2935" t="n">
        <v>0</v>
      </c>
      <c r="N2935" t="n">
        <v>0</v>
      </c>
      <c r="O2935" t="n">
        <v>0</v>
      </c>
      <c r="P2935" t="n">
        <v>0</v>
      </c>
      <c r="Q2935" t="n">
        <v>0</v>
      </c>
      <c r="R2935" s="2" t="inlineStr"/>
    </row>
    <row r="2936" ht="15" customHeight="1">
      <c r="A2936" t="inlineStr">
        <is>
          <t>A 17098-2025</t>
        </is>
      </c>
      <c r="B2936" s="1" t="n">
        <v>45755.65709490741</v>
      </c>
      <c r="C2936" s="1" t="n">
        <v>45952</v>
      </c>
      <c r="D2936" t="inlineStr">
        <is>
          <t>ÖREBRO LÄN</t>
        </is>
      </c>
      <c r="E2936" t="inlineStr">
        <is>
          <t>HÄLLEFORS</t>
        </is>
      </c>
      <c r="F2936" t="inlineStr">
        <is>
          <t>Bergvik skog väst AB</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20121-2024</t>
        </is>
      </c>
      <c r="B2937" s="1" t="n">
        <v>45434</v>
      </c>
      <c r="C2937" s="1" t="n">
        <v>45952</v>
      </c>
      <c r="D2937" t="inlineStr">
        <is>
          <t>ÖREBRO LÄN</t>
        </is>
      </c>
      <c r="E2937" t="inlineStr">
        <is>
          <t>ÖREBRO</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20128-2024</t>
        </is>
      </c>
      <c r="B2938" s="1" t="n">
        <v>45434.5571412037</v>
      </c>
      <c r="C2938" s="1" t="n">
        <v>45952</v>
      </c>
      <c r="D2938" t="inlineStr">
        <is>
          <t>ÖREBRO LÄN</t>
        </is>
      </c>
      <c r="E2938" t="inlineStr">
        <is>
          <t>HÄLLEFORS</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20150-2024</t>
        </is>
      </c>
      <c r="B2939" s="1" t="n">
        <v>45434.57969907407</v>
      </c>
      <c r="C2939" s="1" t="n">
        <v>45952</v>
      </c>
      <c r="D2939" t="inlineStr">
        <is>
          <t>ÖREBRO LÄN</t>
        </is>
      </c>
      <c r="E2939" t="inlineStr">
        <is>
          <t>ÖREBRO</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56730-2024</t>
        </is>
      </c>
      <c r="B2940" s="1" t="n">
        <v>45628.35625</v>
      </c>
      <c r="C2940" s="1" t="n">
        <v>45952</v>
      </c>
      <c r="D2940" t="inlineStr">
        <is>
          <t>ÖREBRO LÄN</t>
        </is>
      </c>
      <c r="E2940" t="inlineStr">
        <is>
          <t>KUMLA</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48497-2025</t>
        </is>
      </c>
      <c r="B2941" s="1" t="n">
        <v>45936.37523148148</v>
      </c>
      <c r="C2941" s="1" t="n">
        <v>45952</v>
      </c>
      <c r="D2941" t="inlineStr">
        <is>
          <t>ÖREBRO LÄN</t>
        </is>
      </c>
      <c r="E2941" t="inlineStr">
        <is>
          <t>LINDESBERG</t>
        </is>
      </c>
      <c r="F2941" t="inlineStr">
        <is>
          <t>Sveaskog</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7066-2024</t>
        </is>
      </c>
      <c r="B2942" s="1" t="n">
        <v>45343</v>
      </c>
      <c r="C2942" s="1" t="n">
        <v>45952</v>
      </c>
      <c r="D2942" t="inlineStr">
        <is>
          <t>ÖREBRO LÄN</t>
        </is>
      </c>
      <c r="E2942" t="inlineStr">
        <is>
          <t>HÄLLEFORS</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5406-2025</t>
        </is>
      </c>
      <c r="B2943" s="1" t="n">
        <v>45692.64821759259</v>
      </c>
      <c r="C2943" s="1" t="n">
        <v>45952</v>
      </c>
      <c r="D2943" t="inlineStr">
        <is>
          <t>ÖREBRO LÄN</t>
        </is>
      </c>
      <c r="E2943" t="inlineStr">
        <is>
          <t>ÖREBRO</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14702-2023</t>
        </is>
      </c>
      <c r="B2944" s="1" t="n">
        <v>45014</v>
      </c>
      <c r="C2944" s="1" t="n">
        <v>45952</v>
      </c>
      <c r="D2944" t="inlineStr">
        <is>
          <t>ÖREBRO LÄN</t>
        </is>
      </c>
      <c r="E2944" t="inlineStr">
        <is>
          <t>LEKEBERG</t>
        </is>
      </c>
      <c r="G2944" t="n">
        <v>12.1</v>
      </c>
      <c r="H2944" t="n">
        <v>0</v>
      </c>
      <c r="I2944" t="n">
        <v>0</v>
      </c>
      <c r="J2944" t="n">
        <v>0</v>
      </c>
      <c r="K2944" t="n">
        <v>0</v>
      </c>
      <c r="L2944" t="n">
        <v>0</v>
      </c>
      <c r="M2944" t="n">
        <v>0</v>
      </c>
      <c r="N2944" t="n">
        <v>0</v>
      </c>
      <c r="O2944" t="n">
        <v>0</v>
      </c>
      <c r="P2944" t="n">
        <v>0</v>
      </c>
      <c r="Q2944" t="n">
        <v>0</v>
      </c>
      <c r="R2944" s="2" t="inlineStr"/>
    </row>
    <row r="2945" ht="15" customHeight="1">
      <c r="A2945" t="inlineStr">
        <is>
          <t>A 10274-2023</t>
        </is>
      </c>
      <c r="B2945" s="1" t="n">
        <v>44986</v>
      </c>
      <c r="C2945" s="1" t="n">
        <v>45952</v>
      </c>
      <c r="D2945" t="inlineStr">
        <is>
          <t>ÖREBRO LÄN</t>
        </is>
      </c>
      <c r="E2945" t="inlineStr">
        <is>
          <t>LEKEBERG</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48936-2025</t>
        </is>
      </c>
      <c r="B2946" s="1" t="n">
        <v>45937.52623842593</v>
      </c>
      <c r="C2946" s="1" t="n">
        <v>45952</v>
      </c>
      <c r="D2946" t="inlineStr">
        <is>
          <t>ÖREBRO LÄN</t>
        </is>
      </c>
      <c r="E2946" t="inlineStr">
        <is>
          <t>LJUSNARSBERG</t>
        </is>
      </c>
      <c r="F2946" t="inlineStr">
        <is>
          <t>Sveaskog</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48765-2025</t>
        </is>
      </c>
      <c r="B2947" s="1" t="n">
        <v>45936.85859953704</v>
      </c>
      <c r="C2947" s="1" t="n">
        <v>45952</v>
      </c>
      <c r="D2947" t="inlineStr">
        <is>
          <t>ÖREBRO LÄN</t>
        </is>
      </c>
      <c r="E2947" t="inlineStr">
        <is>
          <t>HÄLLEFORS</t>
        </is>
      </c>
      <c r="F2947" t="inlineStr">
        <is>
          <t>Bergvik skog väst AB</t>
        </is>
      </c>
      <c r="G2947" t="n">
        <v>17.6</v>
      </c>
      <c r="H2947" t="n">
        <v>0</v>
      </c>
      <c r="I2947" t="n">
        <v>0</v>
      </c>
      <c r="J2947" t="n">
        <v>0</v>
      </c>
      <c r="K2947" t="n">
        <v>0</v>
      </c>
      <c r="L2947" t="n">
        <v>0</v>
      </c>
      <c r="M2947" t="n">
        <v>0</v>
      </c>
      <c r="N2947" t="n">
        <v>0</v>
      </c>
      <c r="O2947" t="n">
        <v>0</v>
      </c>
      <c r="P2947" t="n">
        <v>0</v>
      </c>
      <c r="Q2947" t="n">
        <v>0</v>
      </c>
      <c r="R2947" s="2" t="inlineStr"/>
    </row>
    <row r="2948" ht="15" customHeight="1">
      <c r="A2948" t="inlineStr">
        <is>
          <t>A 44161-2023</t>
        </is>
      </c>
      <c r="B2948" s="1" t="n">
        <v>45188.48960648148</v>
      </c>
      <c r="C2948" s="1" t="n">
        <v>45952</v>
      </c>
      <c r="D2948" t="inlineStr">
        <is>
          <t>ÖREBRO LÄN</t>
        </is>
      </c>
      <c r="E2948" t="inlineStr">
        <is>
          <t>ASKERSUND</t>
        </is>
      </c>
      <c r="F2948" t="inlineStr">
        <is>
          <t>Sveaskog</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48867-2025</t>
        </is>
      </c>
      <c r="B2949" s="1" t="n">
        <v>45937.4484837963</v>
      </c>
      <c r="C2949" s="1" t="n">
        <v>45952</v>
      </c>
      <c r="D2949" t="inlineStr">
        <is>
          <t>ÖREBRO LÄN</t>
        </is>
      </c>
      <c r="E2949" t="inlineStr">
        <is>
          <t>LINDESBERG</t>
        </is>
      </c>
      <c r="F2949" t="inlineStr">
        <is>
          <t>Sveaskog</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48644-2024</t>
        </is>
      </c>
      <c r="B2950" s="1" t="n">
        <v>45593.47466435185</v>
      </c>
      <c r="C2950" s="1" t="n">
        <v>45952</v>
      </c>
      <c r="D2950" t="inlineStr">
        <is>
          <t>ÖREBRO LÄN</t>
        </is>
      </c>
      <c r="E2950" t="inlineStr">
        <is>
          <t>ÖREBRO</t>
        </is>
      </c>
      <c r="F2950" t="inlineStr">
        <is>
          <t>Övriga Aktiebolag</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63508-2023</t>
        </is>
      </c>
      <c r="B2951" s="1" t="n">
        <v>45274</v>
      </c>
      <c r="C2951" s="1" t="n">
        <v>45952</v>
      </c>
      <c r="D2951" t="inlineStr">
        <is>
          <t>ÖREBRO LÄN</t>
        </is>
      </c>
      <c r="E2951" t="inlineStr">
        <is>
          <t>LINDESBERG</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40357-2025</t>
        </is>
      </c>
      <c r="B2952" s="1" t="n">
        <v>45895.48927083334</v>
      </c>
      <c r="C2952" s="1" t="n">
        <v>45952</v>
      </c>
      <c r="D2952" t="inlineStr">
        <is>
          <t>ÖREBRO LÄN</t>
        </is>
      </c>
      <c r="E2952" t="inlineStr">
        <is>
          <t>LINDESBERG</t>
        </is>
      </c>
      <c r="F2952" t="inlineStr">
        <is>
          <t>Sveaskog</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40477-2025</t>
        </is>
      </c>
      <c r="B2953" s="1" t="n">
        <v>45895</v>
      </c>
      <c r="C2953" s="1" t="n">
        <v>45952</v>
      </c>
      <c r="D2953" t="inlineStr">
        <is>
          <t>ÖREBRO LÄN</t>
        </is>
      </c>
      <c r="E2953" t="inlineStr">
        <is>
          <t>LJUSNARSBERG</t>
        </is>
      </c>
      <c r="F2953" t="inlineStr">
        <is>
          <t>Bergvik skog väst AB</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48564-2025</t>
        </is>
      </c>
      <c r="B2954" s="1" t="n">
        <v>45934</v>
      </c>
      <c r="C2954" s="1" t="n">
        <v>45952</v>
      </c>
      <c r="D2954" t="inlineStr">
        <is>
          <t>ÖREBRO LÄN</t>
        </is>
      </c>
      <c r="E2954" t="inlineStr">
        <is>
          <t>LJUSNARSBERG</t>
        </is>
      </c>
      <c r="F2954" t="inlineStr">
        <is>
          <t>Bergvik skog väst AB</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19178-2025</t>
        </is>
      </c>
      <c r="B2955" s="1" t="n">
        <v>45769</v>
      </c>
      <c r="C2955" s="1" t="n">
        <v>45952</v>
      </c>
      <c r="D2955" t="inlineStr">
        <is>
          <t>ÖREBRO LÄN</t>
        </is>
      </c>
      <c r="E2955" t="inlineStr">
        <is>
          <t>LEKEBERG</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50986-2023</t>
        </is>
      </c>
      <c r="B2956" s="1" t="n">
        <v>45218</v>
      </c>
      <c r="C2956" s="1" t="n">
        <v>45952</v>
      </c>
      <c r="D2956" t="inlineStr">
        <is>
          <t>ÖREBRO LÄN</t>
        </is>
      </c>
      <c r="E2956" t="inlineStr">
        <is>
          <t>LINDESBERG</t>
        </is>
      </c>
      <c r="F2956" t="inlineStr">
        <is>
          <t>Sveaskog</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61969-2023</t>
        </is>
      </c>
      <c r="B2957" s="1" t="n">
        <v>45266.58394675926</v>
      </c>
      <c r="C2957" s="1" t="n">
        <v>45952</v>
      </c>
      <c r="D2957" t="inlineStr">
        <is>
          <t>ÖREBRO LÄN</t>
        </is>
      </c>
      <c r="E2957" t="inlineStr">
        <is>
          <t>LINDESBERG</t>
        </is>
      </c>
      <c r="G2957" t="n">
        <v>10.5</v>
      </c>
      <c r="H2957" t="n">
        <v>0</v>
      </c>
      <c r="I2957" t="n">
        <v>0</v>
      </c>
      <c r="J2957" t="n">
        <v>0</v>
      </c>
      <c r="K2957" t="n">
        <v>0</v>
      </c>
      <c r="L2957" t="n">
        <v>0</v>
      </c>
      <c r="M2957" t="n">
        <v>0</v>
      </c>
      <c r="N2957" t="n">
        <v>0</v>
      </c>
      <c r="O2957" t="n">
        <v>0</v>
      </c>
      <c r="P2957" t="n">
        <v>0</v>
      </c>
      <c r="Q2957" t="n">
        <v>0</v>
      </c>
      <c r="R2957" s="2" t="inlineStr"/>
    </row>
    <row r="2958" ht="15" customHeight="1">
      <c r="A2958" t="inlineStr">
        <is>
          <t>A 5313-2024</t>
        </is>
      </c>
      <c r="B2958" s="1" t="n">
        <v>45331.39503472222</v>
      </c>
      <c r="C2958" s="1" t="n">
        <v>45952</v>
      </c>
      <c r="D2958" t="inlineStr">
        <is>
          <t>ÖREBRO LÄN</t>
        </is>
      </c>
      <c r="E2958" t="inlineStr">
        <is>
          <t>LEKEBERG</t>
        </is>
      </c>
      <c r="G2958" t="n">
        <v>8.699999999999999</v>
      </c>
      <c r="H2958" t="n">
        <v>0</v>
      </c>
      <c r="I2958" t="n">
        <v>0</v>
      </c>
      <c r="J2958" t="n">
        <v>0</v>
      </c>
      <c r="K2958" t="n">
        <v>0</v>
      </c>
      <c r="L2958" t="n">
        <v>0</v>
      </c>
      <c r="M2958" t="n">
        <v>0</v>
      </c>
      <c r="N2958" t="n">
        <v>0</v>
      </c>
      <c r="O2958" t="n">
        <v>0</v>
      </c>
      <c r="P2958" t="n">
        <v>0</v>
      </c>
      <c r="Q2958" t="n">
        <v>0</v>
      </c>
      <c r="R2958" s="2" t="inlineStr"/>
    </row>
    <row r="2959" ht="15" customHeight="1">
      <c r="A2959" t="inlineStr">
        <is>
          <t>A 767-2024</t>
        </is>
      </c>
      <c r="B2959" s="1" t="n">
        <v>45300.51892361111</v>
      </c>
      <c r="C2959" s="1" t="n">
        <v>45952</v>
      </c>
      <c r="D2959" t="inlineStr">
        <is>
          <t>ÖREBRO LÄN</t>
        </is>
      </c>
      <c r="E2959" t="inlineStr">
        <is>
          <t>ÖREBRO</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48353-2022</t>
        </is>
      </c>
      <c r="B2960" s="1" t="n">
        <v>44858.57143518519</v>
      </c>
      <c r="C2960" s="1" t="n">
        <v>45952</v>
      </c>
      <c r="D2960" t="inlineStr">
        <is>
          <t>ÖREBRO LÄN</t>
        </is>
      </c>
      <c r="E2960" t="inlineStr">
        <is>
          <t>LJUSNARSBERG</t>
        </is>
      </c>
      <c r="G2960" t="n">
        <v>4.5</v>
      </c>
      <c r="H2960" t="n">
        <v>0</v>
      </c>
      <c r="I2960" t="n">
        <v>0</v>
      </c>
      <c r="J2960" t="n">
        <v>0</v>
      </c>
      <c r="K2960" t="n">
        <v>0</v>
      </c>
      <c r="L2960" t="n">
        <v>0</v>
      </c>
      <c r="M2960" t="n">
        <v>0</v>
      </c>
      <c r="N2960" t="n">
        <v>0</v>
      </c>
      <c r="O2960" t="n">
        <v>0</v>
      </c>
      <c r="P2960" t="n">
        <v>0</v>
      </c>
      <c r="Q2960" t="n">
        <v>0</v>
      </c>
      <c r="R2960" s="2" t="inlineStr"/>
    </row>
    <row r="2961" ht="15" customHeight="1">
      <c r="A2961" t="inlineStr">
        <is>
          <t>A 24115-2024</t>
        </is>
      </c>
      <c r="B2961" s="1" t="n">
        <v>45456</v>
      </c>
      <c r="C2961" s="1" t="n">
        <v>45952</v>
      </c>
      <c r="D2961" t="inlineStr">
        <is>
          <t>ÖREBRO LÄN</t>
        </is>
      </c>
      <c r="E2961" t="inlineStr">
        <is>
          <t>KARLSKOGA</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19742-2025</t>
        </is>
      </c>
      <c r="B2962" s="1" t="n">
        <v>45771.37377314815</v>
      </c>
      <c r="C2962" s="1" t="n">
        <v>45952</v>
      </c>
      <c r="D2962" t="inlineStr">
        <is>
          <t>ÖREBRO LÄN</t>
        </is>
      </c>
      <c r="E2962" t="inlineStr">
        <is>
          <t>LJUSNARSBERG</t>
        </is>
      </c>
      <c r="F2962" t="inlineStr">
        <is>
          <t>Sveaskog</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19746-2025</t>
        </is>
      </c>
      <c r="B2963" s="1" t="n">
        <v>45771.38315972222</v>
      </c>
      <c r="C2963" s="1" t="n">
        <v>45952</v>
      </c>
      <c r="D2963" t="inlineStr">
        <is>
          <t>ÖREBRO LÄN</t>
        </is>
      </c>
      <c r="E2963" t="inlineStr">
        <is>
          <t>LJUSNARSBERG</t>
        </is>
      </c>
      <c r="F2963" t="inlineStr">
        <is>
          <t>Sveaskog</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23933-2025</t>
        </is>
      </c>
      <c r="B2964" s="1" t="n">
        <v>45795.71300925926</v>
      </c>
      <c r="C2964" s="1" t="n">
        <v>45952</v>
      </c>
      <c r="D2964" t="inlineStr">
        <is>
          <t>ÖREBRO LÄN</t>
        </is>
      </c>
      <c r="E2964" t="inlineStr">
        <is>
          <t>LINDESBERG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15771-2022</t>
        </is>
      </c>
      <c r="B2965" s="1" t="n">
        <v>44663.63033564815</v>
      </c>
      <c r="C2965" s="1" t="n">
        <v>45952</v>
      </c>
      <c r="D2965" t="inlineStr">
        <is>
          <t>ÖREBRO LÄN</t>
        </is>
      </c>
      <c r="E2965" t="inlineStr">
        <is>
          <t>HÄLLEFORS</t>
        </is>
      </c>
      <c r="F2965" t="inlineStr">
        <is>
          <t>Bergvik skog väst AB</t>
        </is>
      </c>
      <c r="G2965" t="n">
        <v>4.4</v>
      </c>
      <c r="H2965" t="n">
        <v>0</v>
      </c>
      <c r="I2965" t="n">
        <v>0</v>
      </c>
      <c r="J2965" t="n">
        <v>0</v>
      </c>
      <c r="K2965" t="n">
        <v>0</v>
      </c>
      <c r="L2965" t="n">
        <v>0</v>
      </c>
      <c r="M2965" t="n">
        <v>0</v>
      </c>
      <c r="N2965" t="n">
        <v>0</v>
      </c>
      <c r="O2965" t="n">
        <v>0</v>
      </c>
      <c r="P2965" t="n">
        <v>0</v>
      </c>
      <c r="Q2965" t="n">
        <v>0</v>
      </c>
      <c r="R2965" s="2" t="inlineStr"/>
    </row>
    <row r="2966" ht="15" customHeight="1">
      <c r="A2966" t="inlineStr">
        <is>
          <t>A 40072-2025</t>
        </is>
      </c>
      <c r="B2966" s="1" t="n">
        <v>45894.44390046296</v>
      </c>
      <c r="C2966" s="1" t="n">
        <v>45952</v>
      </c>
      <c r="D2966" t="inlineStr">
        <is>
          <t>ÖREBRO LÄN</t>
        </is>
      </c>
      <c r="E2966" t="inlineStr">
        <is>
          <t>HALLSBERG</t>
        </is>
      </c>
      <c r="F2966" t="inlineStr">
        <is>
          <t>Sveaskog</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52018-2024</t>
        </is>
      </c>
      <c r="B2967" s="1" t="n">
        <v>45607.82974537037</v>
      </c>
      <c r="C2967" s="1" t="n">
        <v>45952</v>
      </c>
      <c r="D2967" t="inlineStr">
        <is>
          <t>ÖREBRO LÄN</t>
        </is>
      </c>
      <c r="E2967" t="inlineStr">
        <is>
          <t>ÖREBRO</t>
        </is>
      </c>
      <c r="G2967" t="n">
        <v>4.3</v>
      </c>
      <c r="H2967" t="n">
        <v>0</v>
      </c>
      <c r="I2967" t="n">
        <v>0</v>
      </c>
      <c r="J2967" t="n">
        <v>0</v>
      </c>
      <c r="K2967" t="n">
        <v>0</v>
      </c>
      <c r="L2967" t="n">
        <v>0</v>
      </c>
      <c r="M2967" t="n">
        <v>0</v>
      </c>
      <c r="N2967" t="n">
        <v>0</v>
      </c>
      <c r="O2967" t="n">
        <v>0</v>
      </c>
      <c r="P2967" t="n">
        <v>0</v>
      </c>
      <c r="Q2967" t="n">
        <v>0</v>
      </c>
      <c r="R2967" s="2" t="inlineStr"/>
    </row>
    <row r="2968" ht="15" customHeight="1">
      <c r="A2968" t="inlineStr">
        <is>
          <t>A 40450-2023</t>
        </is>
      </c>
      <c r="B2968" s="1" t="n">
        <v>45170</v>
      </c>
      <c r="C2968" s="1" t="n">
        <v>45952</v>
      </c>
      <c r="D2968" t="inlineStr">
        <is>
          <t>ÖREBRO LÄN</t>
        </is>
      </c>
      <c r="E2968" t="inlineStr">
        <is>
          <t>LINDESBERG</t>
        </is>
      </c>
      <c r="F2968" t="inlineStr">
        <is>
          <t>Kyrkan</t>
        </is>
      </c>
      <c r="G2968" t="n">
        <v>4.3</v>
      </c>
      <c r="H2968" t="n">
        <v>0</v>
      </c>
      <c r="I2968" t="n">
        <v>0</v>
      </c>
      <c r="J2968" t="n">
        <v>0</v>
      </c>
      <c r="K2968" t="n">
        <v>0</v>
      </c>
      <c r="L2968" t="n">
        <v>0</v>
      </c>
      <c r="M2968" t="n">
        <v>0</v>
      </c>
      <c r="N2968" t="n">
        <v>0</v>
      </c>
      <c r="O2968" t="n">
        <v>0</v>
      </c>
      <c r="P2968" t="n">
        <v>0</v>
      </c>
      <c r="Q2968" t="n">
        <v>0</v>
      </c>
      <c r="R2968" s="2" t="inlineStr"/>
    </row>
    <row r="2969" ht="15" customHeight="1">
      <c r="A2969" t="inlineStr">
        <is>
          <t>A 44616-2024</t>
        </is>
      </c>
      <c r="B2969" s="1" t="n">
        <v>45574.51289351852</v>
      </c>
      <c r="C2969" s="1" t="n">
        <v>45952</v>
      </c>
      <c r="D2969" t="inlineStr">
        <is>
          <t>ÖREBRO LÄN</t>
        </is>
      </c>
      <c r="E2969" t="inlineStr">
        <is>
          <t>HALLSBERG</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48937-2025</t>
        </is>
      </c>
      <c r="B2970" s="1" t="n">
        <v>45937.52811342593</v>
      </c>
      <c r="C2970" s="1" t="n">
        <v>45952</v>
      </c>
      <c r="D2970" t="inlineStr">
        <is>
          <t>ÖREBRO LÄN</t>
        </is>
      </c>
      <c r="E2970" t="inlineStr">
        <is>
          <t>LJUSNARSBERG</t>
        </is>
      </c>
      <c r="F2970" t="inlineStr">
        <is>
          <t>Sveaskog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48941-2025</t>
        </is>
      </c>
      <c r="B2971" s="1" t="n">
        <v>45937.53335648148</v>
      </c>
      <c r="C2971" s="1" t="n">
        <v>45952</v>
      </c>
      <c r="D2971" t="inlineStr">
        <is>
          <t>ÖREBRO LÄN</t>
        </is>
      </c>
      <c r="E2971" t="inlineStr">
        <is>
          <t>LJUSNARSBERG</t>
        </is>
      </c>
      <c r="F2971" t="inlineStr">
        <is>
          <t>Sveaskog</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48975-2025</t>
        </is>
      </c>
      <c r="B2972" s="1" t="n">
        <v>45937.56798611111</v>
      </c>
      <c r="C2972" s="1" t="n">
        <v>45952</v>
      </c>
      <c r="D2972" t="inlineStr">
        <is>
          <t>ÖREBRO LÄN</t>
        </is>
      </c>
      <c r="E2972" t="inlineStr">
        <is>
          <t>LINDESBERG</t>
        </is>
      </c>
      <c r="F2972" t="inlineStr">
        <is>
          <t>Sveaskog</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36081-2023</t>
        </is>
      </c>
      <c r="B2973" s="1" t="n">
        <v>45149</v>
      </c>
      <c r="C2973" s="1" t="n">
        <v>45952</v>
      </c>
      <c r="D2973" t="inlineStr">
        <is>
          <t>ÖREBRO LÄN</t>
        </is>
      </c>
      <c r="E2973" t="inlineStr">
        <is>
          <t>HALLSBERG</t>
        </is>
      </c>
      <c r="G2973" t="n">
        <v>3.5</v>
      </c>
      <c r="H2973" t="n">
        <v>0</v>
      </c>
      <c r="I2973" t="n">
        <v>0</v>
      </c>
      <c r="J2973" t="n">
        <v>0</v>
      </c>
      <c r="K2973" t="n">
        <v>0</v>
      </c>
      <c r="L2973" t="n">
        <v>0</v>
      </c>
      <c r="M2973" t="n">
        <v>0</v>
      </c>
      <c r="N2973" t="n">
        <v>0</v>
      </c>
      <c r="O2973" t="n">
        <v>0</v>
      </c>
      <c r="P2973" t="n">
        <v>0</v>
      </c>
      <c r="Q2973" t="n">
        <v>0</v>
      </c>
      <c r="R2973" s="2" t="inlineStr"/>
    </row>
    <row r="2974" ht="15" customHeight="1">
      <c r="A2974" t="inlineStr">
        <is>
          <t>A 48542-2025</t>
        </is>
      </c>
      <c r="B2974" s="1" t="n">
        <v>45934</v>
      </c>
      <c r="C2974" s="1" t="n">
        <v>45952</v>
      </c>
      <c r="D2974" t="inlineStr">
        <is>
          <t>ÖREBRO LÄN</t>
        </is>
      </c>
      <c r="E2974" t="inlineStr">
        <is>
          <t>LJUSNARSBERG</t>
        </is>
      </c>
      <c r="F2974" t="inlineStr">
        <is>
          <t>Bergvik skog väst AB</t>
        </is>
      </c>
      <c r="G2974" t="n">
        <v>2.1</v>
      </c>
      <c r="H2974" t="n">
        <v>0</v>
      </c>
      <c r="I2974" t="n">
        <v>0</v>
      </c>
      <c r="J2974" t="n">
        <v>0</v>
      </c>
      <c r="K2974" t="n">
        <v>0</v>
      </c>
      <c r="L2974" t="n">
        <v>0</v>
      </c>
      <c r="M2974" t="n">
        <v>0</v>
      </c>
      <c r="N2974" t="n">
        <v>0</v>
      </c>
      <c r="O2974" t="n">
        <v>0</v>
      </c>
      <c r="P2974" t="n">
        <v>0</v>
      </c>
      <c r="Q2974" t="n">
        <v>0</v>
      </c>
      <c r="R2974" s="2" t="inlineStr"/>
    </row>
    <row r="2975" ht="15" customHeight="1">
      <c r="A2975" t="inlineStr">
        <is>
          <t>A 48506-2025</t>
        </is>
      </c>
      <c r="B2975" s="1" t="n">
        <v>45936.38331018519</v>
      </c>
      <c r="C2975" s="1" t="n">
        <v>45952</v>
      </c>
      <c r="D2975" t="inlineStr">
        <is>
          <t>ÖREBRO LÄN</t>
        </is>
      </c>
      <c r="E2975" t="inlineStr">
        <is>
          <t>LJUSNARSBERG</t>
        </is>
      </c>
      <c r="F2975" t="inlineStr">
        <is>
          <t>Sveaskog</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52441-2024</t>
        </is>
      </c>
      <c r="B2976" s="1" t="n">
        <v>45609.48451388889</v>
      </c>
      <c r="C2976" s="1" t="n">
        <v>45952</v>
      </c>
      <c r="D2976" t="inlineStr">
        <is>
          <t>ÖREBRO LÄN</t>
        </is>
      </c>
      <c r="E2976" t="inlineStr">
        <is>
          <t>ÖREBRO</t>
        </is>
      </c>
      <c r="F2976" t="inlineStr">
        <is>
          <t>Sveaskog</t>
        </is>
      </c>
      <c r="G2976" t="n">
        <v>0.9</v>
      </c>
      <c r="H2976" t="n">
        <v>0</v>
      </c>
      <c r="I2976" t="n">
        <v>0</v>
      </c>
      <c r="J2976" t="n">
        <v>0</v>
      </c>
      <c r="K2976" t="n">
        <v>0</v>
      </c>
      <c r="L2976" t="n">
        <v>0</v>
      </c>
      <c r="M2976" t="n">
        <v>0</v>
      </c>
      <c r="N2976" t="n">
        <v>0</v>
      </c>
      <c r="O2976" t="n">
        <v>0</v>
      </c>
      <c r="P2976" t="n">
        <v>0</v>
      </c>
      <c r="Q2976" t="n">
        <v>0</v>
      </c>
      <c r="R2976" s="2" t="inlineStr"/>
    </row>
    <row r="2977" ht="15" customHeight="1">
      <c r="A2977" t="inlineStr">
        <is>
          <t>A 58611-2024</t>
        </is>
      </c>
      <c r="B2977" s="1" t="n">
        <v>45635.55555555555</v>
      </c>
      <c r="C2977" s="1" t="n">
        <v>45952</v>
      </c>
      <c r="D2977" t="inlineStr">
        <is>
          <t>ÖREBRO LÄN</t>
        </is>
      </c>
      <c r="E2977" t="inlineStr">
        <is>
          <t>ÖREBRO</t>
        </is>
      </c>
      <c r="F2977" t="inlineStr">
        <is>
          <t>Sveaskog</t>
        </is>
      </c>
      <c r="G2977" t="n">
        <v>0.3</v>
      </c>
      <c r="H2977" t="n">
        <v>0</v>
      </c>
      <c r="I2977" t="n">
        <v>0</v>
      </c>
      <c r="J2977" t="n">
        <v>0</v>
      </c>
      <c r="K2977" t="n">
        <v>0</v>
      </c>
      <c r="L2977" t="n">
        <v>0</v>
      </c>
      <c r="M2977" t="n">
        <v>0</v>
      </c>
      <c r="N2977" t="n">
        <v>0</v>
      </c>
      <c r="O2977" t="n">
        <v>0</v>
      </c>
      <c r="P2977" t="n">
        <v>0</v>
      </c>
      <c r="Q2977" t="n">
        <v>0</v>
      </c>
      <c r="R2977" s="2" t="inlineStr"/>
    </row>
    <row r="2978" ht="15" customHeight="1">
      <c r="A2978" t="inlineStr">
        <is>
          <t>A 40933-2025</t>
        </is>
      </c>
      <c r="B2978" s="1" t="n">
        <v>45897</v>
      </c>
      <c r="C2978" s="1" t="n">
        <v>45952</v>
      </c>
      <c r="D2978" t="inlineStr">
        <is>
          <t>ÖREBRO LÄN</t>
        </is>
      </c>
      <c r="E2978" t="inlineStr">
        <is>
          <t>LJUSNARSBERG</t>
        </is>
      </c>
      <c r="F2978" t="inlineStr">
        <is>
          <t>Bergvik skog väst AB</t>
        </is>
      </c>
      <c r="G2978" t="n">
        <v>16.6</v>
      </c>
      <c r="H2978" t="n">
        <v>0</v>
      </c>
      <c r="I2978" t="n">
        <v>0</v>
      </c>
      <c r="J2978" t="n">
        <v>0</v>
      </c>
      <c r="K2978" t="n">
        <v>0</v>
      </c>
      <c r="L2978" t="n">
        <v>0</v>
      </c>
      <c r="M2978" t="n">
        <v>0</v>
      </c>
      <c r="N2978" t="n">
        <v>0</v>
      </c>
      <c r="O2978" t="n">
        <v>0</v>
      </c>
      <c r="P2978" t="n">
        <v>0</v>
      </c>
      <c r="Q2978" t="n">
        <v>0</v>
      </c>
      <c r="R2978" s="2" t="inlineStr"/>
    </row>
    <row r="2979" ht="15" customHeight="1">
      <c r="A2979" t="inlineStr">
        <is>
          <t>A 61644-2023</t>
        </is>
      </c>
      <c r="B2979" s="1" t="n">
        <v>45263</v>
      </c>
      <c r="C2979" s="1" t="n">
        <v>45952</v>
      </c>
      <c r="D2979" t="inlineStr">
        <is>
          <t>ÖREBRO LÄN</t>
        </is>
      </c>
      <c r="E2979" t="inlineStr">
        <is>
          <t>LEKEBERG</t>
        </is>
      </c>
      <c r="G2979" t="n">
        <v>2.9</v>
      </c>
      <c r="H2979" t="n">
        <v>0</v>
      </c>
      <c r="I2979" t="n">
        <v>0</v>
      </c>
      <c r="J2979" t="n">
        <v>0</v>
      </c>
      <c r="K2979" t="n">
        <v>0</v>
      </c>
      <c r="L2979" t="n">
        <v>0</v>
      </c>
      <c r="M2979" t="n">
        <v>0</v>
      </c>
      <c r="N2979" t="n">
        <v>0</v>
      </c>
      <c r="O2979" t="n">
        <v>0</v>
      </c>
      <c r="P2979" t="n">
        <v>0</v>
      </c>
      <c r="Q2979" t="n">
        <v>0</v>
      </c>
      <c r="R2979" s="2" t="inlineStr"/>
    </row>
    <row r="2980" ht="15" customHeight="1">
      <c r="A2980" t="inlineStr">
        <is>
          <t>A 58768-2024</t>
        </is>
      </c>
      <c r="B2980" s="1" t="n">
        <v>45635</v>
      </c>
      <c r="C2980" s="1" t="n">
        <v>45952</v>
      </c>
      <c r="D2980" t="inlineStr">
        <is>
          <t>ÖREBRO LÄN</t>
        </is>
      </c>
      <c r="E2980" t="inlineStr">
        <is>
          <t>HÄLLEFORS</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53062-2023</t>
        </is>
      </c>
      <c r="B2981" s="1" t="n">
        <v>45227.31859953704</v>
      </c>
      <c r="C2981" s="1" t="n">
        <v>45952</v>
      </c>
      <c r="D2981" t="inlineStr">
        <is>
          <t>ÖREBRO LÄN</t>
        </is>
      </c>
      <c r="E2981" t="inlineStr">
        <is>
          <t>LINDESBERG</t>
        </is>
      </c>
      <c r="G2981" t="n">
        <v>3.1</v>
      </c>
      <c r="H2981" t="n">
        <v>0</v>
      </c>
      <c r="I2981" t="n">
        <v>0</v>
      </c>
      <c r="J2981" t="n">
        <v>0</v>
      </c>
      <c r="K2981" t="n">
        <v>0</v>
      </c>
      <c r="L2981" t="n">
        <v>0</v>
      </c>
      <c r="M2981" t="n">
        <v>0</v>
      </c>
      <c r="N2981" t="n">
        <v>0</v>
      </c>
      <c r="O2981" t="n">
        <v>0</v>
      </c>
      <c r="P2981" t="n">
        <v>0</v>
      </c>
      <c r="Q2981" t="n">
        <v>0</v>
      </c>
      <c r="R2981" s="2" t="inlineStr"/>
    </row>
    <row r="2982" ht="15" customHeight="1">
      <c r="A2982" t="inlineStr">
        <is>
          <t>A 53129-2023</t>
        </is>
      </c>
      <c r="B2982" s="1" t="n">
        <v>45229</v>
      </c>
      <c r="C2982" s="1" t="n">
        <v>45952</v>
      </c>
      <c r="D2982" t="inlineStr">
        <is>
          <t>ÖREBRO LÄN</t>
        </is>
      </c>
      <c r="E2982" t="inlineStr">
        <is>
          <t>NORA</t>
        </is>
      </c>
      <c r="G2982" t="n">
        <v>7</v>
      </c>
      <c r="H2982" t="n">
        <v>0</v>
      </c>
      <c r="I2982" t="n">
        <v>0</v>
      </c>
      <c r="J2982" t="n">
        <v>0</v>
      </c>
      <c r="K2982" t="n">
        <v>0</v>
      </c>
      <c r="L2982" t="n">
        <v>0</v>
      </c>
      <c r="M2982" t="n">
        <v>0</v>
      </c>
      <c r="N2982" t="n">
        <v>0</v>
      </c>
      <c r="O2982" t="n">
        <v>0</v>
      </c>
      <c r="P2982" t="n">
        <v>0</v>
      </c>
      <c r="Q2982" t="n">
        <v>0</v>
      </c>
      <c r="R2982" s="2" t="inlineStr"/>
    </row>
    <row r="2983" ht="15" customHeight="1">
      <c r="A2983" t="inlineStr">
        <is>
          <t>A 46616-2023</t>
        </is>
      </c>
      <c r="B2983" s="1" t="n">
        <v>45198.40267361111</v>
      </c>
      <c r="C2983" s="1" t="n">
        <v>45952</v>
      </c>
      <c r="D2983" t="inlineStr">
        <is>
          <t>ÖREBRO LÄN</t>
        </is>
      </c>
      <c r="E2983" t="inlineStr">
        <is>
          <t>ASKERSUND</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46688-2023</t>
        </is>
      </c>
      <c r="B2984" s="1" t="n">
        <v>45198.51881944444</v>
      </c>
      <c r="C2984" s="1" t="n">
        <v>45952</v>
      </c>
      <c r="D2984" t="inlineStr">
        <is>
          <t>ÖREBRO LÄN</t>
        </is>
      </c>
      <c r="E2984" t="inlineStr">
        <is>
          <t>NORA</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36136-2023</t>
        </is>
      </c>
      <c r="B2985" s="1" t="n">
        <v>45149</v>
      </c>
      <c r="C2985" s="1" t="n">
        <v>45952</v>
      </c>
      <c r="D2985" t="inlineStr">
        <is>
          <t>ÖREBRO LÄN</t>
        </is>
      </c>
      <c r="E2985" t="inlineStr">
        <is>
          <t>LINDESBERG</t>
        </is>
      </c>
      <c r="F2985" t="inlineStr">
        <is>
          <t>Sveaskog</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48612-2023</t>
        </is>
      </c>
      <c r="B2986" s="1" t="n">
        <v>45208.54440972222</v>
      </c>
      <c r="C2986" s="1" t="n">
        <v>45952</v>
      </c>
      <c r="D2986" t="inlineStr">
        <is>
          <t>ÖREBRO LÄN</t>
        </is>
      </c>
      <c r="E2986" t="inlineStr">
        <is>
          <t>ASKERSUND</t>
        </is>
      </c>
      <c r="F2986" t="inlineStr">
        <is>
          <t>Sveaskog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40590-2025</t>
        </is>
      </c>
      <c r="B2987" s="1" t="n">
        <v>45896.54207175926</v>
      </c>
      <c r="C2987" s="1" t="n">
        <v>45952</v>
      </c>
      <c r="D2987" t="inlineStr">
        <is>
          <t>ÖREBRO LÄN</t>
        </is>
      </c>
      <c r="E2987" t="inlineStr">
        <is>
          <t>ASKERSUND</t>
        </is>
      </c>
      <c r="F2987" t="inlineStr">
        <is>
          <t>Kyrkan</t>
        </is>
      </c>
      <c r="G2987" t="n">
        <v>2.5</v>
      </c>
      <c r="H2987" t="n">
        <v>0</v>
      </c>
      <c r="I2987" t="n">
        <v>0</v>
      </c>
      <c r="J2987" t="n">
        <v>0</v>
      </c>
      <c r="K2987" t="n">
        <v>0</v>
      </c>
      <c r="L2987" t="n">
        <v>0</v>
      </c>
      <c r="M2987" t="n">
        <v>0</v>
      </c>
      <c r="N2987" t="n">
        <v>0</v>
      </c>
      <c r="O2987" t="n">
        <v>0</v>
      </c>
      <c r="P2987" t="n">
        <v>0</v>
      </c>
      <c r="Q2987" t="n">
        <v>0</v>
      </c>
      <c r="R2987" s="2" t="inlineStr"/>
    </row>
    <row r="2988" ht="15" customHeight="1">
      <c r="A2988" t="inlineStr">
        <is>
          <t>A 1332-2024</t>
        </is>
      </c>
      <c r="B2988" s="1" t="n">
        <v>45303</v>
      </c>
      <c r="C2988" s="1" t="n">
        <v>45952</v>
      </c>
      <c r="D2988" t="inlineStr">
        <is>
          <t>ÖREBRO LÄN</t>
        </is>
      </c>
      <c r="E2988" t="inlineStr">
        <is>
          <t>ASKERSUND</t>
        </is>
      </c>
      <c r="G2988" t="n">
        <v>5.6</v>
      </c>
      <c r="H2988" t="n">
        <v>0</v>
      </c>
      <c r="I2988" t="n">
        <v>0</v>
      </c>
      <c r="J2988" t="n">
        <v>0</v>
      </c>
      <c r="K2988" t="n">
        <v>0</v>
      </c>
      <c r="L2988" t="n">
        <v>0</v>
      </c>
      <c r="M2988" t="n">
        <v>0</v>
      </c>
      <c r="N2988" t="n">
        <v>0</v>
      </c>
      <c r="O2988" t="n">
        <v>0</v>
      </c>
      <c r="P2988" t="n">
        <v>0</v>
      </c>
      <c r="Q2988" t="n">
        <v>0</v>
      </c>
      <c r="R2988" s="2" t="inlineStr"/>
    </row>
    <row r="2989" ht="15" customHeight="1">
      <c r="A2989" t="inlineStr">
        <is>
          <t>A 49133-2025</t>
        </is>
      </c>
      <c r="B2989" s="1" t="n">
        <v>45937.92319444445</v>
      </c>
      <c r="C2989" s="1" t="n">
        <v>45952</v>
      </c>
      <c r="D2989" t="inlineStr">
        <is>
          <t>ÖREBRO LÄN</t>
        </is>
      </c>
      <c r="E2989" t="inlineStr">
        <is>
          <t>LINDESBERG</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44807-2023</t>
        </is>
      </c>
      <c r="B2990" s="1" t="n">
        <v>45190.49269675926</v>
      </c>
      <c r="C2990" s="1" t="n">
        <v>45952</v>
      </c>
      <c r="D2990" t="inlineStr">
        <is>
          <t>ÖREBRO LÄN</t>
        </is>
      </c>
      <c r="E2990" t="inlineStr">
        <is>
          <t>DEGERFORS</t>
        </is>
      </c>
      <c r="F2990" t="inlineStr">
        <is>
          <t>Sveaskog</t>
        </is>
      </c>
      <c r="G2990" t="n">
        <v>5.4</v>
      </c>
      <c r="H2990" t="n">
        <v>0</v>
      </c>
      <c r="I2990" t="n">
        <v>0</v>
      </c>
      <c r="J2990" t="n">
        <v>0</v>
      </c>
      <c r="K2990" t="n">
        <v>0</v>
      </c>
      <c r="L2990" t="n">
        <v>0</v>
      </c>
      <c r="M2990" t="n">
        <v>0</v>
      </c>
      <c r="N2990" t="n">
        <v>0</v>
      </c>
      <c r="O2990" t="n">
        <v>0</v>
      </c>
      <c r="P2990" t="n">
        <v>0</v>
      </c>
      <c r="Q2990" t="n">
        <v>0</v>
      </c>
      <c r="R2990" s="2" t="inlineStr"/>
    </row>
    <row r="2991" ht="15" customHeight="1">
      <c r="A2991" t="inlineStr">
        <is>
          <t>A 34358-2022</t>
        </is>
      </c>
      <c r="B2991" s="1" t="n">
        <v>44792.45494212963</v>
      </c>
      <c r="C2991" s="1" t="n">
        <v>45952</v>
      </c>
      <c r="D2991" t="inlineStr">
        <is>
          <t>ÖREBRO LÄN</t>
        </is>
      </c>
      <c r="E2991" t="inlineStr">
        <is>
          <t>ÖREBRO</t>
        </is>
      </c>
      <c r="F2991" t="inlineStr">
        <is>
          <t>Övriga Aktiebolag</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24078-2024</t>
        </is>
      </c>
      <c r="B2992" s="1" t="n">
        <v>45456.56702546297</v>
      </c>
      <c r="C2992" s="1" t="n">
        <v>45952</v>
      </c>
      <c r="D2992" t="inlineStr">
        <is>
          <t>ÖREBRO LÄN</t>
        </is>
      </c>
      <c r="E2992" t="inlineStr">
        <is>
          <t>ASKERSUND</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49707-2025</t>
        </is>
      </c>
      <c r="B2993" s="1" t="n">
        <v>45939.67951388889</v>
      </c>
      <c r="C2993" s="1" t="n">
        <v>45952</v>
      </c>
      <c r="D2993" t="inlineStr">
        <is>
          <t>ÖREBRO LÄN</t>
        </is>
      </c>
      <c r="E2993" t="inlineStr">
        <is>
          <t>LINDESBERG</t>
        </is>
      </c>
      <c r="F2993" t="inlineStr">
        <is>
          <t>Kommuner</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26121-2023</t>
        </is>
      </c>
      <c r="B2994" s="1" t="n">
        <v>45091.44384259259</v>
      </c>
      <c r="C2994" s="1" t="n">
        <v>45952</v>
      </c>
      <c r="D2994" t="inlineStr">
        <is>
          <t>ÖREBRO LÄN</t>
        </is>
      </c>
      <c r="E2994" t="inlineStr">
        <is>
          <t>LEKEBERG</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40485-2025</t>
        </is>
      </c>
      <c r="B2995" s="1" t="n">
        <v>45895.85320601852</v>
      </c>
      <c r="C2995" s="1" t="n">
        <v>45952</v>
      </c>
      <c r="D2995" t="inlineStr">
        <is>
          <t>ÖREBRO LÄN</t>
        </is>
      </c>
      <c r="E2995" t="inlineStr">
        <is>
          <t>HÄLLEFORS</t>
        </is>
      </c>
      <c r="F2995" t="inlineStr">
        <is>
          <t>Bergvik skog väst AB</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59865-2021</t>
        </is>
      </c>
      <c r="B2996" s="1" t="n">
        <v>44494.59873842593</v>
      </c>
      <c r="C2996" s="1" t="n">
        <v>45952</v>
      </c>
      <c r="D2996" t="inlineStr">
        <is>
          <t>ÖREBRO LÄN</t>
        </is>
      </c>
      <c r="E2996" t="inlineStr">
        <is>
          <t>ASKERSUND</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18272-2024</t>
        </is>
      </c>
      <c r="B2997" s="1" t="n">
        <v>45421.69873842593</v>
      </c>
      <c r="C2997" s="1" t="n">
        <v>45952</v>
      </c>
      <c r="D2997" t="inlineStr">
        <is>
          <t>ÖREBRO LÄN</t>
        </is>
      </c>
      <c r="E2997" t="inlineStr">
        <is>
          <t>LEKEBERG</t>
        </is>
      </c>
      <c r="G2997" t="n">
        <v>0.4</v>
      </c>
      <c r="H2997" t="n">
        <v>0</v>
      </c>
      <c r="I2997" t="n">
        <v>0</v>
      </c>
      <c r="J2997" t="n">
        <v>0</v>
      </c>
      <c r="K2997" t="n">
        <v>0</v>
      </c>
      <c r="L2997" t="n">
        <v>0</v>
      </c>
      <c r="M2997" t="n">
        <v>0</v>
      </c>
      <c r="N2997" t="n">
        <v>0</v>
      </c>
      <c r="O2997" t="n">
        <v>0</v>
      </c>
      <c r="P2997" t="n">
        <v>0</v>
      </c>
      <c r="Q2997" t="n">
        <v>0</v>
      </c>
      <c r="R2997" s="2" t="inlineStr"/>
    </row>
    <row r="2998" ht="15" customHeight="1">
      <c r="A2998" t="inlineStr">
        <is>
          <t>A 7130-2024</t>
        </is>
      </c>
      <c r="B2998" s="1" t="n">
        <v>45344.35774305555</v>
      </c>
      <c r="C2998" s="1" t="n">
        <v>45952</v>
      </c>
      <c r="D2998" t="inlineStr">
        <is>
          <t>ÖREBRO LÄN</t>
        </is>
      </c>
      <c r="E2998" t="inlineStr">
        <is>
          <t>LAXÅ</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40852-2025</t>
        </is>
      </c>
      <c r="B2999" s="1" t="n">
        <v>45897</v>
      </c>
      <c r="C2999" s="1" t="n">
        <v>45952</v>
      </c>
      <c r="D2999" t="inlineStr">
        <is>
          <t>ÖREBRO LÄN</t>
        </is>
      </c>
      <c r="E2999" t="inlineStr">
        <is>
          <t>LJUSNARSBERG</t>
        </is>
      </c>
      <c r="F2999" t="inlineStr">
        <is>
          <t>Bergvik skog väst AB</t>
        </is>
      </c>
      <c r="G2999" t="n">
        <v>8.699999999999999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47782-2025</t>
        </is>
      </c>
      <c r="B3000" s="1" t="n">
        <v>45931</v>
      </c>
      <c r="C3000" s="1" t="n">
        <v>45952</v>
      </c>
      <c r="D3000" t="inlineStr">
        <is>
          <t>ÖREBRO LÄN</t>
        </is>
      </c>
      <c r="E3000" t="inlineStr">
        <is>
          <t>DEGERFORS</t>
        </is>
      </c>
      <c r="G3000" t="n">
        <v>13.4</v>
      </c>
      <c r="H3000" t="n">
        <v>0</v>
      </c>
      <c r="I3000" t="n">
        <v>0</v>
      </c>
      <c r="J3000" t="n">
        <v>0</v>
      </c>
      <c r="K3000" t="n">
        <v>0</v>
      </c>
      <c r="L3000" t="n">
        <v>0</v>
      </c>
      <c r="M3000" t="n">
        <v>0</v>
      </c>
      <c r="N3000" t="n">
        <v>0</v>
      </c>
      <c r="O3000" t="n">
        <v>0</v>
      </c>
      <c r="P3000" t="n">
        <v>0</v>
      </c>
      <c r="Q3000" t="n">
        <v>0</v>
      </c>
      <c r="R3000" s="2" t="inlineStr"/>
    </row>
    <row r="3001" ht="15" customHeight="1">
      <c r="A3001" t="inlineStr">
        <is>
          <t>A 52710-2023</t>
        </is>
      </c>
      <c r="B3001" s="1" t="n">
        <v>45225.84559027778</v>
      </c>
      <c r="C3001" s="1" t="n">
        <v>45952</v>
      </c>
      <c r="D3001" t="inlineStr">
        <is>
          <t>ÖREBRO LÄN</t>
        </is>
      </c>
      <c r="E3001" t="inlineStr">
        <is>
          <t>HALLSBERG</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30722-2023</t>
        </is>
      </c>
      <c r="B3002" s="1" t="n">
        <v>45112</v>
      </c>
      <c r="C3002" s="1" t="n">
        <v>45952</v>
      </c>
      <c r="D3002" t="inlineStr">
        <is>
          <t>ÖREBRO LÄN</t>
        </is>
      </c>
      <c r="E3002" t="inlineStr">
        <is>
          <t>LEKEBERG</t>
        </is>
      </c>
      <c r="F3002" t="inlineStr">
        <is>
          <t>Allmännings- och besparingsskogar</t>
        </is>
      </c>
      <c r="G3002" t="n">
        <v>21.2</v>
      </c>
      <c r="H3002" t="n">
        <v>0</v>
      </c>
      <c r="I3002" t="n">
        <v>0</v>
      </c>
      <c r="J3002" t="n">
        <v>0</v>
      </c>
      <c r="K3002" t="n">
        <v>0</v>
      </c>
      <c r="L3002" t="n">
        <v>0</v>
      </c>
      <c r="M3002" t="n">
        <v>0</v>
      </c>
      <c r="N3002" t="n">
        <v>0</v>
      </c>
      <c r="O3002" t="n">
        <v>0</v>
      </c>
      <c r="P3002" t="n">
        <v>0</v>
      </c>
      <c r="Q3002" t="n">
        <v>0</v>
      </c>
      <c r="R3002" s="2" t="inlineStr"/>
    </row>
    <row r="3003" ht="15" customHeight="1">
      <c r="A3003" t="inlineStr">
        <is>
          <t>A 51159-2023</t>
        </is>
      </c>
      <c r="B3003" s="1" t="n">
        <v>45219.37791666666</v>
      </c>
      <c r="C3003" s="1" t="n">
        <v>45952</v>
      </c>
      <c r="D3003" t="inlineStr">
        <is>
          <t>ÖREBRO LÄN</t>
        </is>
      </c>
      <c r="E3003" t="inlineStr">
        <is>
          <t>HÄLLEFORS</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40968-2023</t>
        </is>
      </c>
      <c r="B3004" s="1" t="n">
        <v>45173.48231481481</v>
      </c>
      <c r="C3004" s="1" t="n">
        <v>45952</v>
      </c>
      <c r="D3004" t="inlineStr">
        <is>
          <t>ÖREBRO LÄN</t>
        </is>
      </c>
      <c r="E3004" t="inlineStr">
        <is>
          <t>HALLSBERG</t>
        </is>
      </c>
      <c r="F3004" t="inlineStr">
        <is>
          <t>Sveaskog</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41032-2025</t>
        </is>
      </c>
      <c r="B3005" s="1" t="n">
        <v>45897</v>
      </c>
      <c r="C3005" s="1" t="n">
        <v>45952</v>
      </c>
      <c r="D3005" t="inlineStr">
        <is>
          <t>ÖREBRO LÄN</t>
        </is>
      </c>
      <c r="E3005" t="inlineStr">
        <is>
          <t>LJUSNARSBERG</t>
        </is>
      </c>
      <c r="F3005" t="inlineStr">
        <is>
          <t>Bergvik skog väst AB</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12739-2024</t>
        </is>
      </c>
      <c r="B3006" s="1" t="n">
        <v>45384</v>
      </c>
      <c r="C3006" s="1" t="n">
        <v>45952</v>
      </c>
      <c r="D3006" t="inlineStr">
        <is>
          <t>ÖREBRO LÄN</t>
        </is>
      </c>
      <c r="E3006" t="inlineStr">
        <is>
          <t>LINDESBERG</t>
        </is>
      </c>
      <c r="G3006" t="n">
        <v>8.300000000000001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48654-2023</t>
        </is>
      </c>
      <c r="B3007" s="1" t="n">
        <v>45208.60009259259</v>
      </c>
      <c r="C3007" s="1" t="n">
        <v>45952</v>
      </c>
      <c r="D3007" t="inlineStr">
        <is>
          <t>ÖREBRO LÄN</t>
        </is>
      </c>
      <c r="E3007" t="inlineStr">
        <is>
          <t>ASKERSUND</t>
        </is>
      </c>
      <c r="F3007" t="inlineStr">
        <is>
          <t>Sveaskog</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53545-2023</t>
        </is>
      </c>
      <c r="B3008" s="1" t="n">
        <v>45230</v>
      </c>
      <c r="C3008" s="1" t="n">
        <v>45952</v>
      </c>
      <c r="D3008" t="inlineStr">
        <is>
          <t>ÖREBRO LÄN</t>
        </is>
      </c>
      <c r="E3008" t="inlineStr">
        <is>
          <t>LAXÅ</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23932-2025</t>
        </is>
      </c>
      <c r="B3009" s="1" t="n">
        <v>45795.70912037037</v>
      </c>
      <c r="C3009" s="1" t="n">
        <v>45952</v>
      </c>
      <c r="D3009" t="inlineStr">
        <is>
          <t>ÖREBRO LÄN</t>
        </is>
      </c>
      <c r="E3009" t="inlineStr">
        <is>
          <t>LINDESBERG</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4989-2023</t>
        </is>
      </c>
      <c r="B3010" s="1" t="n">
        <v>44956</v>
      </c>
      <c r="C3010" s="1" t="n">
        <v>45952</v>
      </c>
      <c r="D3010" t="inlineStr">
        <is>
          <t>ÖREBRO LÄN</t>
        </is>
      </c>
      <c r="E3010" t="inlineStr">
        <is>
          <t>LJUSNARSBERG</t>
        </is>
      </c>
      <c r="F3010" t="inlineStr">
        <is>
          <t>Bergvik skog väst AB</t>
        </is>
      </c>
      <c r="G3010" t="n">
        <v>5.4</v>
      </c>
      <c r="H3010" t="n">
        <v>0</v>
      </c>
      <c r="I3010" t="n">
        <v>0</v>
      </c>
      <c r="J3010" t="n">
        <v>0</v>
      </c>
      <c r="K3010" t="n">
        <v>0</v>
      </c>
      <c r="L3010" t="n">
        <v>0</v>
      </c>
      <c r="M3010" t="n">
        <v>0</v>
      </c>
      <c r="N3010" t="n">
        <v>0</v>
      </c>
      <c r="O3010" t="n">
        <v>0</v>
      </c>
      <c r="P3010" t="n">
        <v>0</v>
      </c>
      <c r="Q3010" t="n">
        <v>0</v>
      </c>
      <c r="R3010" s="2" t="inlineStr"/>
    </row>
    <row r="3011" ht="15" customHeight="1">
      <c r="A3011" t="inlineStr">
        <is>
          <t>A 62103-2024</t>
        </is>
      </c>
      <c r="B3011" s="1" t="n">
        <v>45656</v>
      </c>
      <c r="C3011" s="1" t="n">
        <v>45952</v>
      </c>
      <c r="D3011" t="inlineStr">
        <is>
          <t>ÖREBRO LÄN</t>
        </is>
      </c>
      <c r="E3011" t="inlineStr">
        <is>
          <t>ASKERSUND</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62107-2024</t>
        </is>
      </c>
      <c r="B3012" s="1" t="n">
        <v>45656</v>
      </c>
      <c r="C3012" s="1" t="n">
        <v>45952</v>
      </c>
      <c r="D3012" t="inlineStr">
        <is>
          <t>ÖREBRO LÄN</t>
        </is>
      </c>
      <c r="E3012" t="inlineStr">
        <is>
          <t>ASKERSUND</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62108-2024</t>
        </is>
      </c>
      <c r="B3013" s="1" t="n">
        <v>45656</v>
      </c>
      <c r="C3013" s="1" t="n">
        <v>45952</v>
      </c>
      <c r="D3013" t="inlineStr">
        <is>
          <t>ÖREBRO LÄN</t>
        </is>
      </c>
      <c r="E3013" t="inlineStr">
        <is>
          <t>ASKERSUND</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37125-2023</t>
        </is>
      </c>
      <c r="B3014" s="1" t="n">
        <v>45155.5653125</v>
      </c>
      <c r="C3014" s="1" t="n">
        <v>45952</v>
      </c>
      <c r="D3014" t="inlineStr">
        <is>
          <t>ÖREBRO LÄN</t>
        </is>
      </c>
      <c r="E3014" t="inlineStr">
        <is>
          <t>LINDESBERG</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23460-2024</t>
        </is>
      </c>
      <c r="B3015" s="1" t="n">
        <v>45453.65363425926</v>
      </c>
      <c r="C3015" s="1" t="n">
        <v>45952</v>
      </c>
      <c r="D3015" t="inlineStr">
        <is>
          <t>ÖREBRO LÄN</t>
        </is>
      </c>
      <c r="E3015" t="inlineStr">
        <is>
          <t>DEGERFORS</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31763-2023</t>
        </is>
      </c>
      <c r="B3016" s="1" t="n">
        <v>45106</v>
      </c>
      <c r="C3016" s="1" t="n">
        <v>45952</v>
      </c>
      <c r="D3016" t="inlineStr">
        <is>
          <t>ÖREBRO LÄN</t>
        </is>
      </c>
      <c r="E3016" t="inlineStr">
        <is>
          <t>LJUSNARSBERG</t>
        </is>
      </c>
      <c r="F3016" t="inlineStr">
        <is>
          <t>Bergvik skog väst AB</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57944-2023</t>
        </is>
      </c>
      <c r="B3017" s="1" t="n">
        <v>45244</v>
      </c>
      <c r="C3017" s="1" t="n">
        <v>45952</v>
      </c>
      <c r="D3017" t="inlineStr">
        <is>
          <t>ÖREBRO LÄN</t>
        </is>
      </c>
      <c r="E3017" t="inlineStr">
        <is>
          <t>LINDESBERG</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34025-2024</t>
        </is>
      </c>
      <c r="B3018" s="1" t="n">
        <v>45523.58565972222</v>
      </c>
      <c r="C3018" s="1" t="n">
        <v>45952</v>
      </c>
      <c r="D3018" t="inlineStr">
        <is>
          <t>ÖREBRO LÄN</t>
        </is>
      </c>
      <c r="E3018" t="inlineStr">
        <is>
          <t>LINDESBERG</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19077-2025</t>
        </is>
      </c>
      <c r="B3019" s="1" t="n">
        <v>45766.33309027777</v>
      </c>
      <c r="C3019" s="1" t="n">
        <v>45952</v>
      </c>
      <c r="D3019" t="inlineStr">
        <is>
          <t>ÖREBRO LÄN</t>
        </is>
      </c>
      <c r="E3019" t="inlineStr">
        <is>
          <t>LINDESBERG</t>
        </is>
      </c>
      <c r="G3019" t="n">
        <v>0</v>
      </c>
      <c r="H3019" t="n">
        <v>0</v>
      </c>
      <c r="I3019" t="n">
        <v>0</v>
      </c>
      <c r="J3019" t="n">
        <v>0</v>
      </c>
      <c r="K3019" t="n">
        <v>0</v>
      </c>
      <c r="L3019" t="n">
        <v>0</v>
      </c>
      <c r="M3019" t="n">
        <v>0</v>
      </c>
      <c r="N3019" t="n">
        <v>0</v>
      </c>
      <c r="O3019" t="n">
        <v>0</v>
      </c>
      <c r="P3019" t="n">
        <v>0</v>
      </c>
      <c r="Q3019" t="n">
        <v>0</v>
      </c>
      <c r="R3019" s="2" t="inlineStr"/>
    </row>
    <row r="3020" ht="15" customHeight="1">
      <c r="A3020" t="inlineStr">
        <is>
          <t>A 12646-2024</t>
        </is>
      </c>
      <c r="B3020" s="1" t="n">
        <v>45384.34563657407</v>
      </c>
      <c r="C3020" s="1" t="n">
        <v>45952</v>
      </c>
      <c r="D3020" t="inlineStr">
        <is>
          <t>ÖREBRO LÄN</t>
        </is>
      </c>
      <c r="E3020" t="inlineStr">
        <is>
          <t>NORA</t>
        </is>
      </c>
      <c r="G3020" t="n">
        <v>8.699999999999999</v>
      </c>
      <c r="H3020" t="n">
        <v>0</v>
      </c>
      <c r="I3020" t="n">
        <v>0</v>
      </c>
      <c r="J3020" t="n">
        <v>0</v>
      </c>
      <c r="K3020" t="n">
        <v>0</v>
      </c>
      <c r="L3020" t="n">
        <v>0</v>
      </c>
      <c r="M3020" t="n">
        <v>0</v>
      </c>
      <c r="N3020" t="n">
        <v>0</v>
      </c>
      <c r="O3020" t="n">
        <v>0</v>
      </c>
      <c r="P3020" t="n">
        <v>0</v>
      </c>
      <c r="Q3020" t="n">
        <v>0</v>
      </c>
      <c r="R3020" s="2" t="inlineStr"/>
    </row>
    <row r="3021" ht="15" customHeight="1">
      <c r="A3021" t="inlineStr">
        <is>
          <t>A 40745-2025</t>
        </is>
      </c>
      <c r="B3021" s="1" t="n">
        <v>45897.37609953704</v>
      </c>
      <c r="C3021" s="1" t="n">
        <v>45952</v>
      </c>
      <c r="D3021" t="inlineStr">
        <is>
          <t>ÖREBRO LÄN</t>
        </is>
      </c>
      <c r="E3021" t="inlineStr">
        <is>
          <t>ASKERSUND</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18945-2025</t>
        </is>
      </c>
      <c r="B3022" s="1" t="n">
        <v>45764.50498842593</v>
      </c>
      <c r="C3022" s="1" t="n">
        <v>45952</v>
      </c>
      <c r="D3022" t="inlineStr">
        <is>
          <t>ÖREBRO LÄN</t>
        </is>
      </c>
      <c r="E3022" t="inlineStr">
        <is>
          <t>HÄLLEFORS</t>
        </is>
      </c>
      <c r="F3022" t="inlineStr">
        <is>
          <t>Bergvik skog väst AB</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48884-2022</t>
        </is>
      </c>
      <c r="B3023" s="1" t="n">
        <v>44859.89707175926</v>
      </c>
      <c r="C3023" s="1" t="n">
        <v>45952</v>
      </c>
      <c r="D3023" t="inlineStr">
        <is>
          <t>ÖREBRO LÄN</t>
        </is>
      </c>
      <c r="E3023" t="inlineStr">
        <is>
          <t>ASKERSUND</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18955-2025</t>
        </is>
      </c>
      <c r="B3024" s="1" t="n">
        <v>45764.51512731481</v>
      </c>
      <c r="C3024" s="1" t="n">
        <v>45952</v>
      </c>
      <c r="D3024" t="inlineStr">
        <is>
          <t>ÖREBRO LÄN</t>
        </is>
      </c>
      <c r="E3024" t="inlineStr">
        <is>
          <t>KARLSKOGA</t>
        </is>
      </c>
      <c r="G3024" t="n">
        <v>8.1</v>
      </c>
      <c r="H3024" t="n">
        <v>0</v>
      </c>
      <c r="I3024" t="n">
        <v>0</v>
      </c>
      <c r="J3024" t="n">
        <v>0</v>
      </c>
      <c r="K3024" t="n">
        <v>0</v>
      </c>
      <c r="L3024" t="n">
        <v>0</v>
      </c>
      <c r="M3024" t="n">
        <v>0</v>
      </c>
      <c r="N3024" t="n">
        <v>0</v>
      </c>
      <c r="O3024" t="n">
        <v>0</v>
      </c>
      <c r="P3024" t="n">
        <v>0</v>
      </c>
      <c r="Q3024" t="n">
        <v>0</v>
      </c>
      <c r="R3024" s="2" t="inlineStr"/>
    </row>
    <row r="3025" ht="15" customHeight="1">
      <c r="A3025" t="inlineStr">
        <is>
          <t>A 19750-2024</t>
        </is>
      </c>
      <c r="B3025" s="1" t="n">
        <v>45432.66407407408</v>
      </c>
      <c r="C3025" s="1" t="n">
        <v>45952</v>
      </c>
      <c r="D3025" t="inlineStr">
        <is>
          <t>ÖREBRO LÄN</t>
        </is>
      </c>
      <c r="E3025" t="inlineStr">
        <is>
          <t>HALLSBERG</t>
        </is>
      </c>
      <c r="F3025" t="inlineStr">
        <is>
          <t>Sveaskog</t>
        </is>
      </c>
      <c r="G3025" t="n">
        <v>3.2</v>
      </c>
      <c r="H3025" t="n">
        <v>0</v>
      </c>
      <c r="I3025" t="n">
        <v>0</v>
      </c>
      <c r="J3025" t="n">
        <v>0</v>
      </c>
      <c r="K3025" t="n">
        <v>0</v>
      </c>
      <c r="L3025" t="n">
        <v>0</v>
      </c>
      <c r="M3025" t="n">
        <v>0</v>
      </c>
      <c r="N3025" t="n">
        <v>0</v>
      </c>
      <c r="O3025" t="n">
        <v>0</v>
      </c>
      <c r="P3025" t="n">
        <v>0</v>
      </c>
      <c r="Q3025" t="n">
        <v>0</v>
      </c>
      <c r="R3025" s="2" t="inlineStr"/>
    </row>
    <row r="3026" ht="15" customHeight="1">
      <c r="A3026" t="inlineStr">
        <is>
          <t>A 45056-2024</t>
        </is>
      </c>
      <c r="B3026" s="1" t="n">
        <v>45575.55273148148</v>
      </c>
      <c r="C3026" s="1" t="n">
        <v>45952</v>
      </c>
      <c r="D3026" t="inlineStr">
        <is>
          <t>ÖREBRO LÄN</t>
        </is>
      </c>
      <c r="E3026" t="inlineStr">
        <is>
          <t>LINDESBERG</t>
        </is>
      </c>
      <c r="F3026" t="inlineStr">
        <is>
          <t>Sveaskog</t>
        </is>
      </c>
      <c r="G3026" t="n">
        <v>3.3</v>
      </c>
      <c r="H3026" t="n">
        <v>0</v>
      </c>
      <c r="I3026" t="n">
        <v>0</v>
      </c>
      <c r="J3026" t="n">
        <v>0</v>
      </c>
      <c r="K3026" t="n">
        <v>0</v>
      </c>
      <c r="L3026" t="n">
        <v>0</v>
      </c>
      <c r="M3026" t="n">
        <v>0</v>
      </c>
      <c r="N3026" t="n">
        <v>0</v>
      </c>
      <c r="O3026" t="n">
        <v>0</v>
      </c>
      <c r="P3026" t="n">
        <v>0</v>
      </c>
      <c r="Q3026" t="n">
        <v>0</v>
      </c>
      <c r="R3026" s="2" t="inlineStr"/>
    </row>
    <row r="3027" ht="15" customHeight="1">
      <c r="A3027" t="inlineStr">
        <is>
          <t>A 45058-2024</t>
        </is>
      </c>
      <c r="B3027" s="1" t="n">
        <v>45575.5547337963</v>
      </c>
      <c r="C3027" s="1" t="n">
        <v>45952</v>
      </c>
      <c r="D3027" t="inlineStr">
        <is>
          <t>ÖREBRO LÄN</t>
        </is>
      </c>
      <c r="E3027" t="inlineStr">
        <is>
          <t>LINDESBERG</t>
        </is>
      </c>
      <c r="F3027" t="inlineStr">
        <is>
          <t>Sveaskog</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45063-2024</t>
        </is>
      </c>
      <c r="B3028" s="1" t="n">
        <v>45575.55684027778</v>
      </c>
      <c r="C3028" s="1" t="n">
        <v>45952</v>
      </c>
      <c r="D3028" t="inlineStr">
        <is>
          <t>ÖREBRO LÄN</t>
        </is>
      </c>
      <c r="E3028" t="inlineStr">
        <is>
          <t>LINDESBERG</t>
        </is>
      </c>
      <c r="F3028" t="inlineStr">
        <is>
          <t>Sveaskog</t>
        </is>
      </c>
      <c r="G3028" t="n">
        <v>3.3</v>
      </c>
      <c r="H3028" t="n">
        <v>0</v>
      </c>
      <c r="I3028" t="n">
        <v>0</v>
      </c>
      <c r="J3028" t="n">
        <v>0</v>
      </c>
      <c r="K3028" t="n">
        <v>0</v>
      </c>
      <c r="L3028" t="n">
        <v>0</v>
      </c>
      <c r="M3028" t="n">
        <v>0</v>
      </c>
      <c r="N3028" t="n">
        <v>0</v>
      </c>
      <c r="O3028" t="n">
        <v>0</v>
      </c>
      <c r="P3028" t="n">
        <v>0</v>
      </c>
      <c r="Q3028" t="n">
        <v>0</v>
      </c>
      <c r="R3028" s="2" t="inlineStr"/>
    </row>
    <row r="3029" ht="15" customHeight="1">
      <c r="A3029" t="inlineStr">
        <is>
          <t>A 38075-2022</t>
        </is>
      </c>
      <c r="B3029" s="1" t="n">
        <v>44811</v>
      </c>
      <c r="C3029" s="1" t="n">
        <v>45952</v>
      </c>
      <c r="D3029" t="inlineStr">
        <is>
          <t>ÖREBRO LÄN</t>
        </is>
      </c>
      <c r="E3029" t="inlineStr">
        <is>
          <t>ÖREBRO</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69607-2021</t>
        </is>
      </c>
      <c r="B3030" s="1" t="n">
        <v>44532.38833333334</v>
      </c>
      <c r="C3030" s="1" t="n">
        <v>45952</v>
      </c>
      <c r="D3030" t="inlineStr">
        <is>
          <t>ÖREBRO LÄN</t>
        </is>
      </c>
      <c r="E3030" t="inlineStr">
        <is>
          <t>HALLSBERG</t>
        </is>
      </c>
      <c r="F3030" t="inlineStr">
        <is>
          <t>Kommuner</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24385-2025</t>
        </is>
      </c>
      <c r="B3031" s="1" t="n">
        <v>45797</v>
      </c>
      <c r="C3031" s="1" t="n">
        <v>45952</v>
      </c>
      <c r="D3031" t="inlineStr">
        <is>
          <t>ÖREBRO LÄN</t>
        </is>
      </c>
      <c r="E3031" t="inlineStr">
        <is>
          <t>LJUSNARSBERG</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6522-2023</t>
        </is>
      </c>
      <c r="B3032" s="1" t="n">
        <v>44966</v>
      </c>
      <c r="C3032" s="1" t="n">
        <v>45952</v>
      </c>
      <c r="D3032" t="inlineStr">
        <is>
          <t>ÖREBRO LÄN</t>
        </is>
      </c>
      <c r="E3032" t="inlineStr">
        <is>
          <t>ÖREBRO</t>
        </is>
      </c>
      <c r="G3032" t="n">
        <v>4.4</v>
      </c>
      <c r="H3032" t="n">
        <v>0</v>
      </c>
      <c r="I3032" t="n">
        <v>0</v>
      </c>
      <c r="J3032" t="n">
        <v>0</v>
      </c>
      <c r="K3032" t="n">
        <v>0</v>
      </c>
      <c r="L3032" t="n">
        <v>0</v>
      </c>
      <c r="M3032" t="n">
        <v>0</v>
      </c>
      <c r="N3032" t="n">
        <v>0</v>
      </c>
      <c r="O3032" t="n">
        <v>0</v>
      </c>
      <c r="P3032" t="n">
        <v>0</v>
      </c>
      <c r="Q3032" t="n">
        <v>0</v>
      </c>
      <c r="R3032" s="2" t="inlineStr"/>
    </row>
    <row r="3033" ht="15" customHeight="1">
      <c r="A3033" t="inlineStr">
        <is>
          <t>A 17344-2024</t>
        </is>
      </c>
      <c r="B3033" s="1" t="n">
        <v>45414.58052083333</v>
      </c>
      <c r="C3033" s="1" t="n">
        <v>45952</v>
      </c>
      <c r="D3033" t="inlineStr">
        <is>
          <t>ÖREBRO LÄN</t>
        </is>
      </c>
      <c r="E3033" t="inlineStr">
        <is>
          <t>NORA</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19831-2021</t>
        </is>
      </c>
      <c r="B3034" s="1" t="n">
        <v>44313</v>
      </c>
      <c r="C3034" s="1" t="n">
        <v>45952</v>
      </c>
      <c r="D3034" t="inlineStr">
        <is>
          <t>ÖREBRO LÄN</t>
        </is>
      </c>
      <c r="E3034" t="inlineStr">
        <is>
          <t>ÖREBRO</t>
        </is>
      </c>
      <c r="G3034" t="n">
        <v>3.2</v>
      </c>
      <c r="H3034" t="n">
        <v>0</v>
      </c>
      <c r="I3034" t="n">
        <v>0</v>
      </c>
      <c r="J3034" t="n">
        <v>0</v>
      </c>
      <c r="K3034" t="n">
        <v>0</v>
      </c>
      <c r="L3034" t="n">
        <v>0</v>
      </c>
      <c r="M3034" t="n">
        <v>0</v>
      </c>
      <c r="N3034" t="n">
        <v>0</v>
      </c>
      <c r="O3034" t="n">
        <v>0</v>
      </c>
      <c r="P3034" t="n">
        <v>0</v>
      </c>
      <c r="Q3034" t="n">
        <v>0</v>
      </c>
      <c r="R3034" s="2" t="inlineStr"/>
    </row>
    <row r="3035" ht="15" customHeight="1">
      <c r="A3035" t="inlineStr">
        <is>
          <t>A 25602-2023</t>
        </is>
      </c>
      <c r="B3035" s="1" t="n">
        <v>45089.6462962963</v>
      </c>
      <c r="C3035" s="1" t="n">
        <v>45952</v>
      </c>
      <c r="D3035" t="inlineStr">
        <is>
          <t>ÖREBRO LÄN</t>
        </is>
      </c>
      <c r="E3035" t="inlineStr">
        <is>
          <t>LAXÅ</t>
        </is>
      </c>
      <c r="F3035" t="inlineStr">
        <is>
          <t>Övriga statliga verk och myndigheter</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57129-2021</t>
        </is>
      </c>
      <c r="B3036" s="1" t="n">
        <v>44482</v>
      </c>
      <c r="C3036" s="1" t="n">
        <v>45952</v>
      </c>
      <c r="D3036" t="inlineStr">
        <is>
          <t>ÖREBRO LÄN</t>
        </is>
      </c>
      <c r="E3036" t="inlineStr">
        <is>
          <t>LJUSNARSBERG</t>
        </is>
      </c>
      <c r="F3036" t="inlineStr">
        <is>
          <t>Bergvik skog väst AB</t>
        </is>
      </c>
      <c r="G3036" t="n">
        <v>17.8</v>
      </c>
      <c r="H3036" t="n">
        <v>0</v>
      </c>
      <c r="I3036" t="n">
        <v>0</v>
      </c>
      <c r="J3036" t="n">
        <v>0</v>
      </c>
      <c r="K3036" t="n">
        <v>0</v>
      </c>
      <c r="L3036" t="n">
        <v>0</v>
      </c>
      <c r="M3036" t="n">
        <v>0</v>
      </c>
      <c r="N3036" t="n">
        <v>0</v>
      </c>
      <c r="O3036" t="n">
        <v>0</v>
      </c>
      <c r="P3036" t="n">
        <v>0</v>
      </c>
      <c r="Q3036" t="n">
        <v>0</v>
      </c>
      <c r="R3036" s="2" t="inlineStr"/>
    </row>
    <row r="3037" ht="15" customHeight="1">
      <c r="A3037" t="inlineStr">
        <is>
          <t>A 49584-2025</t>
        </is>
      </c>
      <c r="B3037" s="1" t="n">
        <v>45939.50087962963</v>
      </c>
      <c r="C3037" s="1" t="n">
        <v>45952</v>
      </c>
      <c r="D3037" t="inlineStr">
        <is>
          <t>ÖREBRO LÄN</t>
        </is>
      </c>
      <c r="E3037" t="inlineStr">
        <is>
          <t>HALLSBERG</t>
        </is>
      </c>
      <c r="F3037" t="inlineStr">
        <is>
          <t>Sveaskog</t>
        </is>
      </c>
      <c r="G3037" t="n">
        <v>3.8</v>
      </c>
      <c r="H3037" t="n">
        <v>0</v>
      </c>
      <c r="I3037" t="n">
        <v>0</v>
      </c>
      <c r="J3037" t="n">
        <v>0</v>
      </c>
      <c r="K3037" t="n">
        <v>0</v>
      </c>
      <c r="L3037" t="n">
        <v>0</v>
      </c>
      <c r="M3037" t="n">
        <v>0</v>
      </c>
      <c r="N3037" t="n">
        <v>0</v>
      </c>
      <c r="O3037" t="n">
        <v>0</v>
      </c>
      <c r="P3037" t="n">
        <v>0</v>
      </c>
      <c r="Q3037" t="n">
        <v>0</v>
      </c>
      <c r="R3037" s="2" t="inlineStr"/>
    </row>
    <row r="3038" ht="15" customHeight="1">
      <c r="A3038" t="inlineStr">
        <is>
          <t>A 47906-2023</t>
        </is>
      </c>
      <c r="B3038" s="1" t="n">
        <v>45204</v>
      </c>
      <c r="C3038" s="1" t="n">
        <v>45952</v>
      </c>
      <c r="D3038" t="inlineStr">
        <is>
          <t>ÖREBRO LÄN</t>
        </is>
      </c>
      <c r="E3038" t="inlineStr">
        <is>
          <t>LEKEBERG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22348-2024</t>
        </is>
      </c>
      <c r="B3039" s="1" t="n">
        <v>45446.61256944444</v>
      </c>
      <c r="C3039" s="1" t="n">
        <v>45952</v>
      </c>
      <c r="D3039" t="inlineStr">
        <is>
          <t>ÖREBRO LÄN</t>
        </is>
      </c>
      <c r="E3039" t="inlineStr">
        <is>
          <t>ÖREBRO</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5133-2024</t>
        </is>
      </c>
      <c r="B3040" s="1" t="n">
        <v>45330</v>
      </c>
      <c r="C3040" s="1" t="n">
        <v>45952</v>
      </c>
      <c r="D3040" t="inlineStr">
        <is>
          <t>ÖREBRO LÄN</t>
        </is>
      </c>
      <c r="E3040" t="inlineStr">
        <is>
          <t>ÖREBRO</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58197-2024</t>
        </is>
      </c>
      <c r="B3041" s="1" t="n">
        <v>45632.48092592593</v>
      </c>
      <c r="C3041" s="1" t="n">
        <v>45952</v>
      </c>
      <c r="D3041" t="inlineStr">
        <is>
          <t>ÖREBRO LÄN</t>
        </is>
      </c>
      <c r="E3041" t="inlineStr">
        <is>
          <t>DEGERFORS</t>
        </is>
      </c>
      <c r="F3041" t="inlineStr">
        <is>
          <t>Sveaskog</t>
        </is>
      </c>
      <c r="G3041" t="n">
        <v>4.9</v>
      </c>
      <c r="H3041" t="n">
        <v>0</v>
      </c>
      <c r="I3041" t="n">
        <v>0</v>
      </c>
      <c r="J3041" t="n">
        <v>0</v>
      </c>
      <c r="K3041" t="n">
        <v>0</v>
      </c>
      <c r="L3041" t="n">
        <v>0</v>
      </c>
      <c r="M3041" t="n">
        <v>0</v>
      </c>
      <c r="N3041" t="n">
        <v>0</v>
      </c>
      <c r="O3041" t="n">
        <v>0</v>
      </c>
      <c r="P3041" t="n">
        <v>0</v>
      </c>
      <c r="Q3041" t="n">
        <v>0</v>
      </c>
      <c r="R3041" s="2" t="inlineStr"/>
    </row>
    <row r="3042" ht="15" customHeight="1">
      <c r="A3042" t="inlineStr">
        <is>
          <t>A 18449-2023</t>
        </is>
      </c>
      <c r="B3042" s="1" t="n">
        <v>45042.5203125</v>
      </c>
      <c r="C3042" s="1" t="n">
        <v>45952</v>
      </c>
      <c r="D3042" t="inlineStr">
        <is>
          <t>ÖREBRO LÄN</t>
        </is>
      </c>
      <c r="E3042" t="inlineStr">
        <is>
          <t>ÖREBRO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58219-2024</t>
        </is>
      </c>
      <c r="B3043" s="1" t="n">
        <v>45632</v>
      </c>
      <c r="C3043" s="1" t="n">
        <v>45952</v>
      </c>
      <c r="D3043" t="inlineStr">
        <is>
          <t>ÖREBRO LÄN</t>
        </is>
      </c>
      <c r="E3043" t="inlineStr">
        <is>
          <t>ÖREBRO</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40854-2025</t>
        </is>
      </c>
      <c r="B3044" s="1" t="n">
        <v>45897</v>
      </c>
      <c r="C3044" s="1" t="n">
        <v>45952</v>
      </c>
      <c r="D3044" t="inlineStr">
        <is>
          <t>ÖREBRO LÄN</t>
        </is>
      </c>
      <c r="E3044" t="inlineStr">
        <is>
          <t>LJUSNARSBERG</t>
        </is>
      </c>
      <c r="F3044" t="inlineStr">
        <is>
          <t>Bergvik skog väst AB</t>
        </is>
      </c>
      <c r="G3044" t="n">
        <v>3</v>
      </c>
      <c r="H3044" t="n">
        <v>0</v>
      </c>
      <c r="I3044" t="n">
        <v>0</v>
      </c>
      <c r="J3044" t="n">
        <v>0</v>
      </c>
      <c r="K3044" t="n">
        <v>0</v>
      </c>
      <c r="L3044" t="n">
        <v>0</v>
      </c>
      <c r="M3044" t="n">
        <v>0</v>
      </c>
      <c r="N3044" t="n">
        <v>0</v>
      </c>
      <c r="O3044" t="n">
        <v>0</v>
      </c>
      <c r="P3044" t="n">
        <v>0</v>
      </c>
      <c r="Q3044" t="n">
        <v>0</v>
      </c>
      <c r="R3044" s="2" t="inlineStr"/>
    </row>
    <row r="3045" ht="15" customHeight="1">
      <c r="A3045" t="inlineStr">
        <is>
          <t>A 6101-2024</t>
        </is>
      </c>
      <c r="B3045" s="1" t="n">
        <v>45337</v>
      </c>
      <c r="C3045" s="1" t="n">
        <v>45952</v>
      </c>
      <c r="D3045" t="inlineStr">
        <is>
          <t>ÖREBRO LÄN</t>
        </is>
      </c>
      <c r="E3045" t="inlineStr">
        <is>
          <t>LEKEBERG</t>
        </is>
      </c>
      <c r="G3045" t="n">
        <v>4.2</v>
      </c>
      <c r="H3045" t="n">
        <v>0</v>
      </c>
      <c r="I3045" t="n">
        <v>0</v>
      </c>
      <c r="J3045" t="n">
        <v>0</v>
      </c>
      <c r="K3045" t="n">
        <v>0</v>
      </c>
      <c r="L3045" t="n">
        <v>0</v>
      </c>
      <c r="M3045" t="n">
        <v>0</v>
      </c>
      <c r="N3045" t="n">
        <v>0</v>
      </c>
      <c r="O3045" t="n">
        <v>0</v>
      </c>
      <c r="P3045" t="n">
        <v>0</v>
      </c>
      <c r="Q3045" t="n">
        <v>0</v>
      </c>
      <c r="R3045" s="2" t="inlineStr"/>
    </row>
    <row r="3046" ht="15" customHeight="1">
      <c r="A3046" t="inlineStr">
        <is>
          <t>A 39513-2024</t>
        </is>
      </c>
      <c r="B3046" s="1" t="n">
        <v>45551</v>
      </c>
      <c r="C3046" s="1" t="n">
        <v>45952</v>
      </c>
      <c r="D3046" t="inlineStr">
        <is>
          <t>ÖREBRO LÄN</t>
        </is>
      </c>
      <c r="E3046" t="inlineStr">
        <is>
          <t>HÄLLEFORS</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14288-2023</t>
        </is>
      </c>
      <c r="B3047" s="1" t="n">
        <v>45010</v>
      </c>
      <c r="C3047" s="1" t="n">
        <v>45952</v>
      </c>
      <c r="D3047" t="inlineStr">
        <is>
          <t>ÖREBRO LÄN</t>
        </is>
      </c>
      <c r="E3047" t="inlineStr">
        <is>
          <t>HALLSBERG</t>
        </is>
      </c>
      <c r="G3047" t="n">
        <v>2.3</v>
      </c>
      <c r="H3047" t="n">
        <v>0</v>
      </c>
      <c r="I3047" t="n">
        <v>0</v>
      </c>
      <c r="J3047" t="n">
        <v>0</v>
      </c>
      <c r="K3047" t="n">
        <v>0</v>
      </c>
      <c r="L3047" t="n">
        <v>0</v>
      </c>
      <c r="M3047" t="n">
        <v>0</v>
      </c>
      <c r="N3047" t="n">
        <v>0</v>
      </c>
      <c r="O3047" t="n">
        <v>0</v>
      </c>
      <c r="P3047" t="n">
        <v>0</v>
      </c>
      <c r="Q3047" t="n">
        <v>0</v>
      </c>
      <c r="R3047" s="2" t="inlineStr"/>
    </row>
    <row r="3048" ht="15" customHeight="1">
      <c r="A3048" t="inlineStr">
        <is>
          <t>A 12648-2025</t>
        </is>
      </c>
      <c r="B3048" s="1" t="n">
        <v>45733.39797453704</v>
      </c>
      <c r="C3048" s="1" t="n">
        <v>45952</v>
      </c>
      <c r="D3048" t="inlineStr">
        <is>
          <t>ÖREBRO LÄN</t>
        </is>
      </c>
      <c r="E3048" t="inlineStr">
        <is>
          <t>HÄLLEFORS</t>
        </is>
      </c>
      <c r="F3048" t="inlineStr">
        <is>
          <t>Bergvik skog väst AB</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9198-2025</t>
        </is>
      </c>
      <c r="B3049" s="1" t="n">
        <v>45714</v>
      </c>
      <c r="C3049" s="1" t="n">
        <v>45952</v>
      </c>
      <c r="D3049" t="inlineStr">
        <is>
          <t>ÖREBRO LÄN</t>
        </is>
      </c>
      <c r="E3049" t="inlineStr">
        <is>
          <t>LINDESBERG</t>
        </is>
      </c>
      <c r="G3049" t="n">
        <v>3.3</v>
      </c>
      <c r="H3049" t="n">
        <v>0</v>
      </c>
      <c r="I3049" t="n">
        <v>0</v>
      </c>
      <c r="J3049" t="n">
        <v>0</v>
      </c>
      <c r="K3049" t="n">
        <v>0</v>
      </c>
      <c r="L3049" t="n">
        <v>0</v>
      </c>
      <c r="M3049" t="n">
        <v>0</v>
      </c>
      <c r="N3049" t="n">
        <v>0</v>
      </c>
      <c r="O3049" t="n">
        <v>0</v>
      </c>
      <c r="P3049" t="n">
        <v>0</v>
      </c>
      <c r="Q3049" t="n">
        <v>0</v>
      </c>
      <c r="R3049" s="2" t="inlineStr"/>
    </row>
    <row r="3050" ht="15" customHeight="1">
      <c r="A3050" t="inlineStr">
        <is>
          <t>A 67822-2020</t>
        </is>
      </c>
      <c r="B3050" s="1" t="n">
        <v>44182</v>
      </c>
      <c r="C3050" s="1" t="n">
        <v>45952</v>
      </c>
      <c r="D3050" t="inlineStr">
        <is>
          <t>ÖREBRO LÄN</t>
        </is>
      </c>
      <c r="E3050" t="inlineStr">
        <is>
          <t>LAXÅ</t>
        </is>
      </c>
      <c r="F3050" t="inlineStr">
        <is>
          <t>Sveaskog</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54105-2023</t>
        </is>
      </c>
      <c r="B3051" s="1" t="n">
        <v>45232</v>
      </c>
      <c r="C3051" s="1" t="n">
        <v>45952</v>
      </c>
      <c r="D3051" t="inlineStr">
        <is>
          <t>ÖREBRO LÄN</t>
        </is>
      </c>
      <c r="E3051" t="inlineStr">
        <is>
          <t>HÄLLEFORS</t>
        </is>
      </c>
      <c r="F3051" t="inlineStr">
        <is>
          <t>Kommuner</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16736-2023</t>
        </is>
      </c>
      <c r="B3052" s="1" t="n">
        <v>45030.72328703704</v>
      </c>
      <c r="C3052" s="1" t="n">
        <v>45952</v>
      </c>
      <c r="D3052" t="inlineStr">
        <is>
          <t>ÖREBRO LÄN</t>
        </is>
      </c>
      <c r="E3052" t="inlineStr">
        <is>
          <t>ÖREBRO</t>
        </is>
      </c>
      <c r="G3052" t="n">
        <v>4</v>
      </c>
      <c r="H3052" t="n">
        <v>0</v>
      </c>
      <c r="I3052" t="n">
        <v>0</v>
      </c>
      <c r="J3052" t="n">
        <v>0</v>
      </c>
      <c r="K3052" t="n">
        <v>0</v>
      </c>
      <c r="L3052" t="n">
        <v>0</v>
      </c>
      <c r="M3052" t="n">
        <v>0</v>
      </c>
      <c r="N3052" t="n">
        <v>0</v>
      </c>
      <c r="O3052" t="n">
        <v>0</v>
      </c>
      <c r="P3052" t="n">
        <v>0</v>
      </c>
      <c r="Q3052" t="n">
        <v>0</v>
      </c>
      <c r="R3052" s="2" t="inlineStr"/>
    </row>
    <row r="3053" ht="15" customHeight="1">
      <c r="A3053" t="inlineStr">
        <is>
          <t>A 13884-2023</t>
        </is>
      </c>
      <c r="B3053" s="1" t="n">
        <v>45007</v>
      </c>
      <c r="C3053" s="1" t="n">
        <v>45952</v>
      </c>
      <c r="D3053" t="inlineStr">
        <is>
          <t>ÖREBRO LÄN</t>
        </is>
      </c>
      <c r="E3053" t="inlineStr">
        <is>
          <t>LINDESBERG</t>
        </is>
      </c>
      <c r="F3053" t="inlineStr">
        <is>
          <t>Kommuner</t>
        </is>
      </c>
      <c r="G3053" t="n">
        <v>7.7</v>
      </c>
      <c r="H3053" t="n">
        <v>0</v>
      </c>
      <c r="I3053" t="n">
        <v>0</v>
      </c>
      <c r="J3053" t="n">
        <v>0</v>
      </c>
      <c r="K3053" t="n">
        <v>0</v>
      </c>
      <c r="L3053" t="n">
        <v>0</v>
      </c>
      <c r="M3053" t="n">
        <v>0</v>
      </c>
      <c r="N3053" t="n">
        <v>0</v>
      </c>
      <c r="O3053" t="n">
        <v>0</v>
      </c>
      <c r="P3053" t="n">
        <v>0</v>
      </c>
      <c r="Q3053" t="n">
        <v>0</v>
      </c>
      <c r="R3053" s="2" t="inlineStr"/>
    </row>
    <row r="3054" ht="15" customHeight="1">
      <c r="A3054" t="inlineStr">
        <is>
          <t>A 50265-2024</t>
        </is>
      </c>
      <c r="B3054" s="1" t="n">
        <v>45600</v>
      </c>
      <c r="C3054" s="1" t="n">
        <v>45952</v>
      </c>
      <c r="D3054" t="inlineStr">
        <is>
          <t>ÖREBRO LÄN</t>
        </is>
      </c>
      <c r="E3054" t="inlineStr">
        <is>
          <t>LAXÅ</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50275-2024</t>
        </is>
      </c>
      <c r="B3055" s="1" t="n">
        <v>45600.60071759259</v>
      </c>
      <c r="C3055" s="1" t="n">
        <v>45952</v>
      </c>
      <c r="D3055" t="inlineStr">
        <is>
          <t>ÖREBRO LÄN</t>
        </is>
      </c>
      <c r="E3055" t="inlineStr">
        <is>
          <t>LINDESBERG</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17463-2023</t>
        </is>
      </c>
      <c r="B3056" s="1" t="n">
        <v>45036</v>
      </c>
      <c r="C3056" s="1" t="n">
        <v>45952</v>
      </c>
      <c r="D3056" t="inlineStr">
        <is>
          <t>ÖREBRO LÄN</t>
        </is>
      </c>
      <c r="E3056" t="inlineStr">
        <is>
          <t>LINDESBERG</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46055-2024</t>
        </is>
      </c>
      <c r="B3057" s="1" t="n">
        <v>45580</v>
      </c>
      <c r="C3057" s="1" t="n">
        <v>45952</v>
      </c>
      <c r="D3057" t="inlineStr">
        <is>
          <t>ÖREBRO LÄN</t>
        </is>
      </c>
      <c r="E3057" t="inlineStr">
        <is>
          <t>HALLSBERG</t>
        </is>
      </c>
      <c r="F3057" t="inlineStr">
        <is>
          <t>Övriga Aktiebolag</t>
        </is>
      </c>
      <c r="G3057" t="n">
        <v>6.1</v>
      </c>
      <c r="H3057" t="n">
        <v>0</v>
      </c>
      <c r="I3057" t="n">
        <v>0</v>
      </c>
      <c r="J3057" t="n">
        <v>0</v>
      </c>
      <c r="K3057" t="n">
        <v>0</v>
      </c>
      <c r="L3057" t="n">
        <v>0</v>
      </c>
      <c r="M3057" t="n">
        <v>0</v>
      </c>
      <c r="N3057" t="n">
        <v>0</v>
      </c>
      <c r="O3057" t="n">
        <v>0</v>
      </c>
      <c r="P3057" t="n">
        <v>0</v>
      </c>
      <c r="Q3057" t="n">
        <v>0</v>
      </c>
      <c r="R3057" s="2" t="inlineStr"/>
    </row>
    <row r="3058" ht="15" customHeight="1">
      <c r="A3058" t="inlineStr">
        <is>
          <t>A 40668-2025</t>
        </is>
      </c>
      <c r="B3058" s="1" t="n">
        <v>45896</v>
      </c>
      <c r="C3058" s="1" t="n">
        <v>45952</v>
      </c>
      <c r="D3058" t="inlineStr">
        <is>
          <t>ÖREBRO LÄN</t>
        </is>
      </c>
      <c r="E3058" t="inlineStr">
        <is>
          <t>LAXÅ</t>
        </is>
      </c>
      <c r="G3058" t="n">
        <v>1.4</v>
      </c>
      <c r="H3058" t="n">
        <v>0</v>
      </c>
      <c r="I3058" t="n">
        <v>0</v>
      </c>
      <c r="J3058" t="n">
        <v>0</v>
      </c>
      <c r="K3058" t="n">
        <v>0</v>
      </c>
      <c r="L3058" t="n">
        <v>0</v>
      </c>
      <c r="M3058" t="n">
        <v>0</v>
      </c>
      <c r="N3058" t="n">
        <v>0</v>
      </c>
      <c r="O3058" t="n">
        <v>0</v>
      </c>
      <c r="P3058" t="n">
        <v>0</v>
      </c>
      <c r="Q3058" t="n">
        <v>0</v>
      </c>
      <c r="R3058" s="2" t="inlineStr"/>
    </row>
    <row r="3059" ht="15" customHeight="1">
      <c r="A3059" t="inlineStr">
        <is>
          <t>A 10712-2021</t>
        </is>
      </c>
      <c r="B3059" s="1" t="n">
        <v>44258</v>
      </c>
      <c r="C3059" s="1" t="n">
        <v>45952</v>
      </c>
      <c r="D3059" t="inlineStr">
        <is>
          <t>ÖREBRO LÄN</t>
        </is>
      </c>
      <c r="E3059" t="inlineStr">
        <is>
          <t>LINDESBERG</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24017-2025</t>
        </is>
      </c>
      <c r="B3060" s="1" t="n">
        <v>45796.44885416667</v>
      </c>
      <c r="C3060" s="1" t="n">
        <v>45952</v>
      </c>
      <c r="D3060" t="inlineStr">
        <is>
          <t>ÖREBRO LÄN</t>
        </is>
      </c>
      <c r="E3060" t="inlineStr">
        <is>
          <t>LINDESBERG</t>
        </is>
      </c>
      <c r="F3060" t="inlineStr">
        <is>
          <t>Sveaskog</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65005-2023</t>
        </is>
      </c>
      <c r="B3061" s="1" t="n">
        <v>45287</v>
      </c>
      <c r="C3061" s="1" t="n">
        <v>45952</v>
      </c>
      <c r="D3061" t="inlineStr">
        <is>
          <t>ÖREBRO LÄN</t>
        </is>
      </c>
      <c r="E3061" t="inlineStr">
        <is>
          <t>LJUSNARSBERG</t>
        </is>
      </c>
      <c r="G3061" t="n">
        <v>1.4</v>
      </c>
      <c r="H3061" t="n">
        <v>0</v>
      </c>
      <c r="I3061" t="n">
        <v>0</v>
      </c>
      <c r="J3061" t="n">
        <v>0</v>
      </c>
      <c r="K3061" t="n">
        <v>0</v>
      </c>
      <c r="L3061" t="n">
        <v>0</v>
      </c>
      <c r="M3061" t="n">
        <v>0</v>
      </c>
      <c r="N3061" t="n">
        <v>0</v>
      </c>
      <c r="O3061" t="n">
        <v>0</v>
      </c>
      <c r="P3061" t="n">
        <v>0</v>
      </c>
      <c r="Q3061" t="n">
        <v>0</v>
      </c>
      <c r="R3061" s="2" t="inlineStr"/>
    </row>
    <row r="3062" ht="15" customHeight="1">
      <c r="A3062" t="inlineStr">
        <is>
          <t>A 41017-2025</t>
        </is>
      </c>
      <c r="B3062" s="1" t="n">
        <v>45897</v>
      </c>
      <c r="C3062" s="1" t="n">
        <v>45952</v>
      </c>
      <c r="D3062" t="inlineStr">
        <is>
          <t>ÖREBRO LÄN</t>
        </is>
      </c>
      <c r="E3062" t="inlineStr">
        <is>
          <t>LJUSNARSBERG</t>
        </is>
      </c>
      <c r="F3062" t="inlineStr">
        <is>
          <t>Bergvik skog väst AB</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60492-2024</t>
        </is>
      </c>
      <c r="B3063" s="1" t="n">
        <v>45642</v>
      </c>
      <c r="C3063" s="1" t="n">
        <v>45952</v>
      </c>
      <c r="D3063" t="inlineStr">
        <is>
          <t>ÖREBRO LÄN</t>
        </is>
      </c>
      <c r="E3063" t="inlineStr">
        <is>
          <t>LINDESBERG</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6266-2025</t>
        </is>
      </c>
      <c r="B3064" s="1" t="n">
        <v>45698</v>
      </c>
      <c r="C3064" s="1" t="n">
        <v>45952</v>
      </c>
      <c r="D3064" t="inlineStr">
        <is>
          <t>ÖREBRO LÄN</t>
        </is>
      </c>
      <c r="E3064" t="inlineStr">
        <is>
          <t>KUMLA</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23897-2025</t>
        </is>
      </c>
      <c r="B3065" s="1" t="n">
        <v>45794.33498842592</v>
      </c>
      <c r="C3065" s="1" t="n">
        <v>45952</v>
      </c>
      <c r="D3065" t="inlineStr">
        <is>
          <t>ÖREBRO LÄN</t>
        </is>
      </c>
      <c r="E3065" t="inlineStr">
        <is>
          <t>LINDESBERG</t>
        </is>
      </c>
      <c r="G3065" t="n">
        <v>5.6</v>
      </c>
      <c r="H3065" t="n">
        <v>0</v>
      </c>
      <c r="I3065" t="n">
        <v>0</v>
      </c>
      <c r="J3065" t="n">
        <v>0</v>
      </c>
      <c r="K3065" t="n">
        <v>0</v>
      </c>
      <c r="L3065" t="n">
        <v>0</v>
      </c>
      <c r="M3065" t="n">
        <v>0</v>
      </c>
      <c r="N3065" t="n">
        <v>0</v>
      </c>
      <c r="O3065" t="n">
        <v>0</v>
      </c>
      <c r="P3065" t="n">
        <v>0</v>
      </c>
      <c r="Q3065" t="n">
        <v>0</v>
      </c>
      <c r="R3065" s="2" t="inlineStr"/>
    </row>
    <row r="3066" ht="15" customHeight="1">
      <c r="A3066" t="inlineStr">
        <is>
          <t>A 11141-2023</t>
        </is>
      </c>
      <c r="B3066" s="1" t="n">
        <v>44992.50019675926</v>
      </c>
      <c r="C3066" s="1" t="n">
        <v>45952</v>
      </c>
      <c r="D3066" t="inlineStr">
        <is>
          <t>ÖREBRO LÄN</t>
        </is>
      </c>
      <c r="E3066" t="inlineStr">
        <is>
          <t>KUMLA</t>
        </is>
      </c>
      <c r="G3066" t="n">
        <v>0.1</v>
      </c>
      <c r="H3066" t="n">
        <v>0</v>
      </c>
      <c r="I3066" t="n">
        <v>0</v>
      </c>
      <c r="J3066" t="n">
        <v>0</v>
      </c>
      <c r="K3066" t="n">
        <v>0</v>
      </c>
      <c r="L3066" t="n">
        <v>0</v>
      </c>
      <c r="M3066" t="n">
        <v>0</v>
      </c>
      <c r="N3066" t="n">
        <v>0</v>
      </c>
      <c r="O3066" t="n">
        <v>0</v>
      </c>
      <c r="P3066" t="n">
        <v>0</v>
      </c>
      <c r="Q3066" t="n">
        <v>0</v>
      </c>
      <c r="R3066" s="2" t="inlineStr"/>
    </row>
    <row r="3067" ht="15" customHeight="1">
      <c r="A3067" t="inlineStr">
        <is>
          <t>A 16930-2025</t>
        </is>
      </c>
      <c r="B3067" s="1" t="n">
        <v>45755.40039351852</v>
      </c>
      <c r="C3067" s="1" t="n">
        <v>45952</v>
      </c>
      <c r="D3067" t="inlineStr">
        <is>
          <t>ÖREBRO LÄN</t>
        </is>
      </c>
      <c r="E3067" t="inlineStr">
        <is>
          <t>HÄLLEFORS</t>
        </is>
      </c>
      <c r="F3067" t="inlineStr">
        <is>
          <t>Bergvik skog väst AB</t>
        </is>
      </c>
      <c r="G3067" t="n">
        <v>2.7</v>
      </c>
      <c r="H3067" t="n">
        <v>0</v>
      </c>
      <c r="I3067" t="n">
        <v>0</v>
      </c>
      <c r="J3067" t="n">
        <v>0</v>
      </c>
      <c r="K3067" t="n">
        <v>0</v>
      </c>
      <c r="L3067" t="n">
        <v>0</v>
      </c>
      <c r="M3067" t="n">
        <v>0</v>
      </c>
      <c r="N3067" t="n">
        <v>0</v>
      </c>
      <c r="O3067" t="n">
        <v>0</v>
      </c>
      <c r="P3067" t="n">
        <v>0</v>
      </c>
      <c r="Q3067" t="n">
        <v>0</v>
      </c>
      <c r="R3067" s="2" t="inlineStr"/>
    </row>
    <row r="3068" ht="15" customHeight="1">
      <c r="A3068" t="inlineStr">
        <is>
          <t>A 32725-2022</t>
        </is>
      </c>
      <c r="B3068" s="1" t="n">
        <v>44783</v>
      </c>
      <c r="C3068" s="1" t="n">
        <v>45952</v>
      </c>
      <c r="D3068" t="inlineStr">
        <is>
          <t>ÖREBRO LÄN</t>
        </is>
      </c>
      <c r="E3068" t="inlineStr">
        <is>
          <t>KUMLA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49582-2025</t>
        </is>
      </c>
      <c r="B3069" s="1" t="n">
        <v>45939.49789351852</v>
      </c>
      <c r="C3069" s="1" t="n">
        <v>45952</v>
      </c>
      <c r="D3069" t="inlineStr">
        <is>
          <t>ÖREBRO LÄN</t>
        </is>
      </c>
      <c r="E3069" t="inlineStr">
        <is>
          <t>HALLSBERG</t>
        </is>
      </c>
      <c r="F3069" t="inlineStr">
        <is>
          <t>Sveaskog</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59455-2022</t>
        </is>
      </c>
      <c r="B3070" s="1" t="n">
        <v>44907.42807870371</v>
      </c>
      <c r="C3070" s="1" t="n">
        <v>45952</v>
      </c>
      <c r="D3070" t="inlineStr">
        <is>
          <t>ÖREBRO LÄN</t>
        </is>
      </c>
      <c r="E3070" t="inlineStr">
        <is>
          <t>LAXÅ</t>
        </is>
      </c>
      <c r="F3070" t="inlineStr">
        <is>
          <t>Sveaskog</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48707-2022</t>
        </is>
      </c>
      <c r="B3071" s="1" t="n">
        <v>44859</v>
      </c>
      <c r="C3071" s="1" t="n">
        <v>45952</v>
      </c>
      <c r="D3071" t="inlineStr">
        <is>
          <t>ÖREBRO LÄN</t>
        </is>
      </c>
      <c r="E3071" t="inlineStr">
        <is>
          <t>NORA</t>
        </is>
      </c>
      <c r="G3071" t="n">
        <v>7.2</v>
      </c>
      <c r="H3071" t="n">
        <v>0</v>
      </c>
      <c r="I3071" t="n">
        <v>0</v>
      </c>
      <c r="J3071" t="n">
        <v>0</v>
      </c>
      <c r="K3071" t="n">
        <v>0</v>
      </c>
      <c r="L3071" t="n">
        <v>0</v>
      </c>
      <c r="M3071" t="n">
        <v>0</v>
      </c>
      <c r="N3071" t="n">
        <v>0</v>
      </c>
      <c r="O3071" t="n">
        <v>0</v>
      </c>
      <c r="P3071" t="n">
        <v>0</v>
      </c>
      <c r="Q3071" t="n">
        <v>0</v>
      </c>
      <c r="R3071" s="2" t="inlineStr"/>
    </row>
    <row r="3072" ht="15" customHeight="1">
      <c r="A3072" t="inlineStr">
        <is>
          <t>A 50375-2024</t>
        </is>
      </c>
      <c r="B3072" s="1" t="n">
        <v>45601.29311342593</v>
      </c>
      <c r="C3072" s="1" t="n">
        <v>45952</v>
      </c>
      <c r="D3072" t="inlineStr">
        <is>
          <t>ÖREBRO LÄN</t>
        </is>
      </c>
      <c r="E3072" t="inlineStr">
        <is>
          <t>ÖREBRO</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24107-2025</t>
        </is>
      </c>
      <c r="B3073" s="1" t="n">
        <v>45796</v>
      </c>
      <c r="C3073" s="1" t="n">
        <v>45952</v>
      </c>
      <c r="D3073" t="inlineStr">
        <is>
          <t>ÖREBRO LÄN</t>
        </is>
      </c>
      <c r="E3073" t="inlineStr">
        <is>
          <t>LINDESBERG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40587-2025</t>
        </is>
      </c>
      <c r="B3074" s="1" t="n">
        <v>45896.52702546296</v>
      </c>
      <c r="C3074" s="1" t="n">
        <v>45952</v>
      </c>
      <c r="D3074" t="inlineStr">
        <is>
          <t>ÖREBRO LÄN</t>
        </is>
      </c>
      <c r="E3074" t="inlineStr">
        <is>
          <t>ASKERSUND</t>
        </is>
      </c>
      <c r="F3074" t="inlineStr">
        <is>
          <t>Kyrkan</t>
        </is>
      </c>
      <c r="G3074" t="n">
        <v>2.8</v>
      </c>
      <c r="H3074" t="n">
        <v>0</v>
      </c>
      <c r="I3074" t="n">
        <v>0</v>
      </c>
      <c r="J3074" t="n">
        <v>0</v>
      </c>
      <c r="K3074" t="n">
        <v>0</v>
      </c>
      <c r="L3074" t="n">
        <v>0</v>
      </c>
      <c r="M3074" t="n">
        <v>0</v>
      </c>
      <c r="N3074" t="n">
        <v>0</v>
      </c>
      <c r="O3074" t="n">
        <v>0</v>
      </c>
      <c r="P3074" t="n">
        <v>0</v>
      </c>
      <c r="Q3074" t="n">
        <v>0</v>
      </c>
      <c r="R3074" s="2" t="inlineStr"/>
    </row>
    <row r="3075" ht="15" customHeight="1">
      <c r="A3075" t="inlineStr">
        <is>
          <t>A 23898-2025</t>
        </is>
      </c>
      <c r="B3075" s="1" t="n">
        <v>45794.3419212963</v>
      </c>
      <c r="C3075" s="1" t="n">
        <v>45952</v>
      </c>
      <c r="D3075" t="inlineStr">
        <is>
          <t>ÖREBRO LÄN</t>
        </is>
      </c>
      <c r="E3075" t="inlineStr">
        <is>
          <t>LINDESBERG</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10432-2025</t>
        </is>
      </c>
      <c r="B3076" s="1" t="n">
        <v>45720</v>
      </c>
      <c r="C3076" s="1" t="n">
        <v>45952</v>
      </c>
      <c r="D3076" t="inlineStr">
        <is>
          <t>ÖREBRO LÄN</t>
        </is>
      </c>
      <c r="E3076" t="inlineStr">
        <is>
          <t>ASKERSUND</t>
        </is>
      </c>
      <c r="G3076" t="n">
        <v>4.3</v>
      </c>
      <c r="H3076" t="n">
        <v>0</v>
      </c>
      <c r="I3076" t="n">
        <v>0</v>
      </c>
      <c r="J3076" t="n">
        <v>0</v>
      </c>
      <c r="K3076" t="n">
        <v>0</v>
      </c>
      <c r="L3076" t="n">
        <v>0</v>
      </c>
      <c r="M3076" t="n">
        <v>0</v>
      </c>
      <c r="N3076" t="n">
        <v>0</v>
      </c>
      <c r="O3076" t="n">
        <v>0</v>
      </c>
      <c r="P3076" t="n">
        <v>0</v>
      </c>
      <c r="Q3076" t="n">
        <v>0</v>
      </c>
      <c r="R3076" s="2" t="inlineStr"/>
    </row>
    <row r="3077" ht="15" customHeight="1">
      <c r="A3077" t="inlineStr">
        <is>
          <t>A 1018-2025</t>
        </is>
      </c>
      <c r="B3077" s="1" t="n">
        <v>45666.49185185185</v>
      </c>
      <c r="C3077" s="1" t="n">
        <v>45952</v>
      </c>
      <c r="D3077" t="inlineStr">
        <is>
          <t>ÖREBRO LÄN</t>
        </is>
      </c>
      <c r="E3077" t="inlineStr">
        <is>
          <t>HÄLLEFORS</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29595-2025</t>
        </is>
      </c>
      <c r="B3078" s="1" t="n">
        <v>45825</v>
      </c>
      <c r="C3078" s="1" t="n">
        <v>45952</v>
      </c>
      <c r="D3078" t="inlineStr">
        <is>
          <t>ÖREBRO LÄN</t>
        </is>
      </c>
      <c r="E3078" t="inlineStr">
        <is>
          <t>LJUSNARSBERG</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40964-2025</t>
        </is>
      </c>
      <c r="B3079" s="1" t="n">
        <v>45897</v>
      </c>
      <c r="C3079" s="1" t="n">
        <v>45952</v>
      </c>
      <c r="D3079" t="inlineStr">
        <is>
          <t>ÖREBRO LÄN</t>
        </is>
      </c>
      <c r="E3079" t="inlineStr">
        <is>
          <t>LJUSNARSBERG</t>
        </is>
      </c>
      <c r="F3079" t="inlineStr">
        <is>
          <t>Bergvik skog väst AB</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62265-2022</t>
        </is>
      </c>
      <c r="B3080" s="1" t="n">
        <v>44923</v>
      </c>
      <c r="C3080" s="1" t="n">
        <v>45952</v>
      </c>
      <c r="D3080" t="inlineStr">
        <is>
          <t>ÖREBRO LÄN</t>
        </is>
      </c>
      <c r="E3080" t="inlineStr">
        <is>
          <t>HÄLLEFORS</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50614-2024</t>
        </is>
      </c>
      <c r="B3081" s="1" t="n">
        <v>45601.63342592592</v>
      </c>
      <c r="C3081" s="1" t="n">
        <v>45952</v>
      </c>
      <c r="D3081" t="inlineStr">
        <is>
          <t>ÖREBRO LÄN</t>
        </is>
      </c>
      <c r="E3081" t="inlineStr">
        <is>
          <t>KARLSKOGA</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8589-2022</t>
        </is>
      </c>
      <c r="B3082" s="1" t="n">
        <v>44613.55984953704</v>
      </c>
      <c r="C3082" s="1" t="n">
        <v>45952</v>
      </c>
      <c r="D3082" t="inlineStr">
        <is>
          <t>ÖREBRO LÄN</t>
        </is>
      </c>
      <c r="E3082" t="inlineStr">
        <is>
          <t>NORA</t>
        </is>
      </c>
      <c r="F3082" t="inlineStr">
        <is>
          <t>Sveaskog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29522-2024</t>
        </is>
      </c>
      <c r="B3083" s="1" t="n">
        <v>45484.44842592593</v>
      </c>
      <c r="C3083" s="1" t="n">
        <v>45952</v>
      </c>
      <c r="D3083" t="inlineStr">
        <is>
          <t>ÖREBRO LÄN</t>
        </is>
      </c>
      <c r="E3083" t="inlineStr">
        <is>
          <t>ASKERSUND</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24801-2023</t>
        </is>
      </c>
      <c r="B3084" s="1" t="n">
        <v>45084</v>
      </c>
      <c r="C3084" s="1" t="n">
        <v>45952</v>
      </c>
      <c r="D3084" t="inlineStr">
        <is>
          <t>ÖREBRO LÄN</t>
        </is>
      </c>
      <c r="E3084" t="inlineStr">
        <is>
          <t>HALLSBERG</t>
        </is>
      </c>
      <c r="F3084" t="inlineStr">
        <is>
          <t>Allmännings- och besparingsskogar</t>
        </is>
      </c>
      <c r="G3084" t="n">
        <v>5.1</v>
      </c>
      <c r="H3084" t="n">
        <v>0</v>
      </c>
      <c r="I3084" t="n">
        <v>0</v>
      </c>
      <c r="J3084" t="n">
        <v>0</v>
      </c>
      <c r="K3084" t="n">
        <v>0</v>
      </c>
      <c r="L3084" t="n">
        <v>0</v>
      </c>
      <c r="M3084" t="n">
        <v>0</v>
      </c>
      <c r="N3084" t="n">
        <v>0</v>
      </c>
      <c r="O3084" t="n">
        <v>0</v>
      </c>
      <c r="P3084" t="n">
        <v>0</v>
      </c>
      <c r="Q3084" t="n">
        <v>0</v>
      </c>
      <c r="R3084" s="2" t="inlineStr"/>
    </row>
    <row r="3085" ht="15" customHeight="1">
      <c r="A3085" t="inlineStr">
        <is>
          <t>A 26093-2023</t>
        </is>
      </c>
      <c r="B3085" s="1" t="n">
        <v>45091.39362268519</v>
      </c>
      <c r="C3085" s="1" t="n">
        <v>45952</v>
      </c>
      <c r="D3085" t="inlineStr">
        <is>
          <t>ÖREBRO LÄN</t>
        </is>
      </c>
      <c r="E3085" t="inlineStr">
        <is>
          <t>LINDESBERG</t>
        </is>
      </c>
      <c r="G3085" t="n">
        <v>0.4</v>
      </c>
      <c r="H3085" t="n">
        <v>0</v>
      </c>
      <c r="I3085" t="n">
        <v>0</v>
      </c>
      <c r="J3085" t="n">
        <v>0</v>
      </c>
      <c r="K3085" t="n">
        <v>0</v>
      </c>
      <c r="L3085" t="n">
        <v>0</v>
      </c>
      <c r="M3085" t="n">
        <v>0</v>
      </c>
      <c r="N3085" t="n">
        <v>0</v>
      </c>
      <c r="O3085" t="n">
        <v>0</v>
      </c>
      <c r="P3085" t="n">
        <v>0</v>
      </c>
      <c r="Q3085" t="n">
        <v>0</v>
      </c>
      <c r="R3085" s="2" t="inlineStr"/>
    </row>
    <row r="3086" ht="15" customHeight="1">
      <c r="A3086" t="inlineStr">
        <is>
          <t>A 40616-2025</t>
        </is>
      </c>
      <c r="B3086" s="1" t="n">
        <v>45896.58164351852</v>
      </c>
      <c r="C3086" s="1" t="n">
        <v>45952</v>
      </c>
      <c r="D3086" t="inlineStr">
        <is>
          <t>ÖREBRO LÄN</t>
        </is>
      </c>
      <c r="E3086" t="inlineStr">
        <is>
          <t>ASKERSUND</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24231-2025</t>
        </is>
      </c>
      <c r="B3087" s="1" t="n">
        <v>45797</v>
      </c>
      <c r="C3087" s="1" t="n">
        <v>45952</v>
      </c>
      <c r="D3087" t="inlineStr">
        <is>
          <t>ÖREBRO LÄN</t>
        </is>
      </c>
      <c r="E3087" t="inlineStr">
        <is>
          <t>HALLSBERG</t>
        </is>
      </c>
      <c r="F3087" t="inlineStr">
        <is>
          <t>Kyrkan</t>
        </is>
      </c>
      <c r="G3087" t="n">
        <v>10.4</v>
      </c>
      <c r="H3087" t="n">
        <v>0</v>
      </c>
      <c r="I3087" t="n">
        <v>0</v>
      </c>
      <c r="J3087" t="n">
        <v>0</v>
      </c>
      <c r="K3087" t="n">
        <v>0</v>
      </c>
      <c r="L3087" t="n">
        <v>0</v>
      </c>
      <c r="M3087" t="n">
        <v>0</v>
      </c>
      <c r="N3087" t="n">
        <v>0</v>
      </c>
      <c r="O3087" t="n">
        <v>0</v>
      </c>
      <c r="P3087" t="n">
        <v>0</v>
      </c>
      <c r="Q3087" t="n">
        <v>0</v>
      </c>
      <c r="R3087" s="2" t="inlineStr"/>
    </row>
    <row r="3088" ht="15" customHeight="1">
      <c r="A3088" t="inlineStr">
        <is>
          <t>A 35861-2024</t>
        </is>
      </c>
      <c r="B3088" s="1" t="n">
        <v>45533.33751157407</v>
      </c>
      <c r="C3088" s="1" t="n">
        <v>45952</v>
      </c>
      <c r="D3088" t="inlineStr">
        <is>
          <t>ÖREBRO LÄN</t>
        </is>
      </c>
      <c r="E3088" t="inlineStr">
        <is>
          <t>HÄLLEFORS</t>
        </is>
      </c>
      <c r="F3088" t="inlineStr">
        <is>
          <t>Bergvik skog väst AB</t>
        </is>
      </c>
      <c r="G3088" t="n">
        <v>25.9</v>
      </c>
      <c r="H3088" t="n">
        <v>0</v>
      </c>
      <c r="I3088" t="n">
        <v>0</v>
      </c>
      <c r="J3088" t="n">
        <v>0</v>
      </c>
      <c r="K3088" t="n">
        <v>0</v>
      </c>
      <c r="L3088" t="n">
        <v>0</v>
      </c>
      <c r="M3088" t="n">
        <v>0</v>
      </c>
      <c r="N3088" t="n">
        <v>0</v>
      </c>
      <c r="O3088" t="n">
        <v>0</v>
      </c>
      <c r="P3088" t="n">
        <v>0</v>
      </c>
      <c r="Q3088" t="n">
        <v>0</v>
      </c>
      <c r="R3088" s="2" t="inlineStr"/>
    </row>
    <row r="3089" ht="15" customHeight="1">
      <c r="A3089" t="inlineStr">
        <is>
          <t>A 47066-2023</t>
        </is>
      </c>
      <c r="B3089" s="1" t="n">
        <v>45201</v>
      </c>
      <c r="C3089" s="1" t="n">
        <v>45952</v>
      </c>
      <c r="D3089" t="inlineStr">
        <is>
          <t>ÖREBRO LÄN</t>
        </is>
      </c>
      <c r="E3089" t="inlineStr">
        <is>
          <t>LINDESBERG</t>
        </is>
      </c>
      <c r="F3089" t="inlineStr">
        <is>
          <t>Sveaskog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44122-2024</t>
        </is>
      </c>
      <c r="B3090" s="1" t="n">
        <v>45572.6396875</v>
      </c>
      <c r="C3090" s="1" t="n">
        <v>45952</v>
      </c>
      <c r="D3090" t="inlineStr">
        <is>
          <t>ÖREBRO LÄN</t>
        </is>
      </c>
      <c r="E3090" t="inlineStr">
        <is>
          <t>HÄLLEFORS</t>
        </is>
      </c>
      <c r="F3090" t="inlineStr">
        <is>
          <t>Bergvik skog väst AB</t>
        </is>
      </c>
      <c r="G3090" t="n">
        <v>2.9</v>
      </c>
      <c r="H3090" t="n">
        <v>0</v>
      </c>
      <c r="I3090" t="n">
        <v>0</v>
      </c>
      <c r="J3090" t="n">
        <v>0</v>
      </c>
      <c r="K3090" t="n">
        <v>0</v>
      </c>
      <c r="L3090" t="n">
        <v>0</v>
      </c>
      <c r="M3090" t="n">
        <v>0</v>
      </c>
      <c r="N3090" t="n">
        <v>0</v>
      </c>
      <c r="O3090" t="n">
        <v>0</v>
      </c>
      <c r="P3090" t="n">
        <v>0</v>
      </c>
      <c r="Q3090" t="n">
        <v>0</v>
      </c>
      <c r="R3090" s="2" t="inlineStr"/>
    </row>
    <row r="3091" ht="15" customHeight="1">
      <c r="A3091" t="inlineStr">
        <is>
          <t>A 54859-2024</t>
        </is>
      </c>
      <c r="B3091" s="1" t="n">
        <v>45618.58962962963</v>
      </c>
      <c r="C3091" s="1" t="n">
        <v>45952</v>
      </c>
      <c r="D3091" t="inlineStr">
        <is>
          <t>ÖREBRO LÄN</t>
        </is>
      </c>
      <c r="E3091" t="inlineStr">
        <is>
          <t>LINDESBERG</t>
        </is>
      </c>
      <c r="F3091" t="inlineStr">
        <is>
          <t>Sveaskog</t>
        </is>
      </c>
      <c r="G3091" t="n">
        <v>5.3</v>
      </c>
      <c r="H3091" t="n">
        <v>0</v>
      </c>
      <c r="I3091" t="n">
        <v>0</v>
      </c>
      <c r="J3091" t="n">
        <v>0</v>
      </c>
      <c r="K3091" t="n">
        <v>0</v>
      </c>
      <c r="L3091" t="n">
        <v>0</v>
      </c>
      <c r="M3091" t="n">
        <v>0</v>
      </c>
      <c r="N3091" t="n">
        <v>0</v>
      </c>
      <c r="O3091" t="n">
        <v>0</v>
      </c>
      <c r="P3091" t="n">
        <v>0</v>
      </c>
      <c r="Q3091" t="n">
        <v>0</v>
      </c>
      <c r="R3091" s="2" t="inlineStr"/>
    </row>
    <row r="3092" ht="15" customHeight="1">
      <c r="A3092" t="inlineStr">
        <is>
          <t>A 58548-2024</t>
        </is>
      </c>
      <c r="B3092" s="1" t="n">
        <v>45635.45878472222</v>
      </c>
      <c r="C3092" s="1" t="n">
        <v>45952</v>
      </c>
      <c r="D3092" t="inlineStr">
        <is>
          <t>ÖREBRO LÄN</t>
        </is>
      </c>
      <c r="E3092" t="inlineStr">
        <is>
          <t>LEKEBERG</t>
        </is>
      </c>
      <c r="G3092" t="n">
        <v>6.3</v>
      </c>
      <c r="H3092" t="n">
        <v>0</v>
      </c>
      <c r="I3092" t="n">
        <v>0</v>
      </c>
      <c r="J3092" t="n">
        <v>0</v>
      </c>
      <c r="K3092" t="n">
        <v>0</v>
      </c>
      <c r="L3092" t="n">
        <v>0</v>
      </c>
      <c r="M3092" t="n">
        <v>0</v>
      </c>
      <c r="N3092" t="n">
        <v>0</v>
      </c>
      <c r="O3092" t="n">
        <v>0</v>
      </c>
      <c r="P3092" t="n">
        <v>0</v>
      </c>
      <c r="Q3092" t="n">
        <v>0</v>
      </c>
      <c r="R3092" s="2" t="inlineStr"/>
    </row>
    <row r="3093" ht="15" customHeight="1">
      <c r="A3093" t="inlineStr">
        <is>
          <t>A 36773-2024</t>
        </is>
      </c>
      <c r="B3093" s="1" t="n">
        <v>45538</v>
      </c>
      <c r="C3093" s="1" t="n">
        <v>45952</v>
      </c>
      <c r="D3093" t="inlineStr">
        <is>
          <t>ÖREBRO LÄN</t>
        </is>
      </c>
      <c r="E3093" t="inlineStr">
        <is>
          <t>LINDESBERG</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54995-2024</t>
        </is>
      </c>
      <c r="B3094" s="1" t="n">
        <v>45621.28127314815</v>
      </c>
      <c r="C3094" s="1" t="n">
        <v>45952</v>
      </c>
      <c r="D3094" t="inlineStr">
        <is>
          <t>ÖREBRO LÄN</t>
        </is>
      </c>
      <c r="E3094" t="inlineStr">
        <is>
          <t>HÄLLEFORS</t>
        </is>
      </c>
      <c r="F3094" t="inlineStr">
        <is>
          <t>Bergvik skog väst AB</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15695-2024</t>
        </is>
      </c>
      <c r="B3095" s="1" t="n">
        <v>45404.45487268519</v>
      </c>
      <c r="C3095" s="1" t="n">
        <v>45952</v>
      </c>
      <c r="D3095" t="inlineStr">
        <is>
          <t>ÖREBRO LÄN</t>
        </is>
      </c>
      <c r="E3095" t="inlineStr">
        <is>
          <t>ÖREBRO</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30089-2024</t>
        </is>
      </c>
      <c r="B3096" s="1" t="n">
        <v>45485</v>
      </c>
      <c r="C3096" s="1" t="n">
        <v>45952</v>
      </c>
      <c r="D3096" t="inlineStr">
        <is>
          <t>ÖREBRO LÄN</t>
        </is>
      </c>
      <c r="E3096" t="inlineStr">
        <is>
          <t>ÖREBRO</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24055-2025</t>
        </is>
      </c>
      <c r="B3097" s="1" t="n">
        <v>45796</v>
      </c>
      <c r="C3097" s="1" t="n">
        <v>45952</v>
      </c>
      <c r="D3097" t="inlineStr">
        <is>
          <t>ÖREBRO LÄN</t>
        </is>
      </c>
      <c r="E3097" t="inlineStr">
        <is>
          <t>LEKEBERG</t>
        </is>
      </c>
      <c r="G3097" t="n">
        <v>4.2</v>
      </c>
      <c r="H3097" t="n">
        <v>0</v>
      </c>
      <c r="I3097" t="n">
        <v>0</v>
      </c>
      <c r="J3097" t="n">
        <v>0</v>
      </c>
      <c r="K3097" t="n">
        <v>0</v>
      </c>
      <c r="L3097" t="n">
        <v>0</v>
      </c>
      <c r="M3097" t="n">
        <v>0</v>
      </c>
      <c r="N3097" t="n">
        <v>0</v>
      </c>
      <c r="O3097" t="n">
        <v>0</v>
      </c>
      <c r="P3097" t="n">
        <v>0</v>
      </c>
      <c r="Q3097" t="n">
        <v>0</v>
      </c>
      <c r="R3097" s="2" t="inlineStr"/>
    </row>
    <row r="3098" ht="15" customHeight="1">
      <c r="A3098" t="inlineStr">
        <is>
          <t>A 25528-2023</t>
        </is>
      </c>
      <c r="B3098" s="1" t="n">
        <v>45089</v>
      </c>
      <c r="C3098" s="1" t="n">
        <v>45952</v>
      </c>
      <c r="D3098" t="inlineStr">
        <is>
          <t>ÖREBRO LÄN</t>
        </is>
      </c>
      <c r="E3098" t="inlineStr">
        <is>
          <t>ASKERSUND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24011-2025</t>
        </is>
      </c>
      <c r="B3099" s="1" t="n">
        <v>45796</v>
      </c>
      <c r="C3099" s="1" t="n">
        <v>45952</v>
      </c>
      <c r="D3099" t="inlineStr">
        <is>
          <t>ÖREBRO LÄN</t>
        </is>
      </c>
      <c r="E3099" t="inlineStr">
        <is>
          <t>LINDESBERG</t>
        </is>
      </c>
      <c r="F3099" t="inlineStr">
        <is>
          <t>Sveaskog</t>
        </is>
      </c>
      <c r="G3099" t="n">
        <v>4.2</v>
      </c>
      <c r="H3099" t="n">
        <v>0</v>
      </c>
      <c r="I3099" t="n">
        <v>0</v>
      </c>
      <c r="J3099" t="n">
        <v>0</v>
      </c>
      <c r="K3099" t="n">
        <v>0</v>
      </c>
      <c r="L3099" t="n">
        <v>0</v>
      </c>
      <c r="M3099" t="n">
        <v>0</v>
      </c>
      <c r="N3099" t="n">
        <v>0</v>
      </c>
      <c r="O3099" t="n">
        <v>0</v>
      </c>
      <c r="P3099" t="n">
        <v>0</v>
      </c>
      <c r="Q3099" t="n">
        <v>0</v>
      </c>
      <c r="R3099" s="2" t="inlineStr"/>
    </row>
    <row r="3100" ht="15" customHeight="1">
      <c r="A3100" t="inlineStr">
        <is>
          <t>A 24020-2025</t>
        </is>
      </c>
      <c r="B3100" s="1" t="n">
        <v>45796.45054398148</v>
      </c>
      <c r="C3100" s="1" t="n">
        <v>45952</v>
      </c>
      <c r="D3100" t="inlineStr">
        <is>
          <t>ÖREBRO LÄN</t>
        </is>
      </c>
      <c r="E3100" t="inlineStr">
        <is>
          <t>LINDESBERG</t>
        </is>
      </c>
      <c r="F3100" t="inlineStr">
        <is>
          <t>Sveaskog</t>
        </is>
      </c>
      <c r="G3100" t="n">
        <v>3.1</v>
      </c>
      <c r="H3100" t="n">
        <v>0</v>
      </c>
      <c r="I3100" t="n">
        <v>0</v>
      </c>
      <c r="J3100" t="n">
        <v>0</v>
      </c>
      <c r="K3100" t="n">
        <v>0</v>
      </c>
      <c r="L3100" t="n">
        <v>0</v>
      </c>
      <c r="M3100" t="n">
        <v>0</v>
      </c>
      <c r="N3100" t="n">
        <v>0</v>
      </c>
      <c r="O3100" t="n">
        <v>0</v>
      </c>
      <c r="P3100" t="n">
        <v>0</v>
      </c>
      <c r="Q3100" t="n">
        <v>0</v>
      </c>
      <c r="R3100" s="2" t="inlineStr"/>
    </row>
    <row r="3101" ht="15" customHeight="1">
      <c r="A3101" t="inlineStr">
        <is>
          <t>A 52477-2024</t>
        </is>
      </c>
      <c r="B3101" s="1" t="n">
        <v>45609</v>
      </c>
      <c r="C3101" s="1" t="n">
        <v>45952</v>
      </c>
      <c r="D3101" t="inlineStr">
        <is>
          <t>ÖREBRO LÄN</t>
        </is>
      </c>
      <c r="E3101" t="inlineStr">
        <is>
          <t>ÖREBRO</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51652-2023</t>
        </is>
      </c>
      <c r="B3102" s="1" t="n">
        <v>45222</v>
      </c>
      <c r="C3102" s="1" t="n">
        <v>45952</v>
      </c>
      <c r="D3102" t="inlineStr">
        <is>
          <t>ÖREBRO LÄN</t>
        </is>
      </c>
      <c r="E3102" t="inlineStr">
        <is>
          <t>DEGERFORS</t>
        </is>
      </c>
      <c r="F3102" t="inlineStr">
        <is>
          <t>Sveaskog</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2555-2024</t>
        </is>
      </c>
      <c r="B3103" s="1" t="n">
        <v>45313.60285879629</v>
      </c>
      <c r="C3103" s="1" t="n">
        <v>45952</v>
      </c>
      <c r="D3103" t="inlineStr">
        <is>
          <t>ÖREBRO LÄN</t>
        </is>
      </c>
      <c r="E3103" t="inlineStr">
        <is>
          <t>ASKERSUND</t>
        </is>
      </c>
      <c r="G3103" t="n">
        <v>8.4</v>
      </c>
      <c r="H3103" t="n">
        <v>0</v>
      </c>
      <c r="I3103" t="n">
        <v>0</v>
      </c>
      <c r="J3103" t="n">
        <v>0</v>
      </c>
      <c r="K3103" t="n">
        <v>0</v>
      </c>
      <c r="L3103" t="n">
        <v>0</v>
      </c>
      <c r="M3103" t="n">
        <v>0</v>
      </c>
      <c r="N3103" t="n">
        <v>0</v>
      </c>
      <c r="O3103" t="n">
        <v>0</v>
      </c>
      <c r="P3103" t="n">
        <v>0</v>
      </c>
      <c r="Q3103" t="n">
        <v>0</v>
      </c>
      <c r="R3103" s="2" t="inlineStr"/>
    </row>
    <row r="3104" ht="15" customHeight="1">
      <c r="A3104" t="inlineStr">
        <is>
          <t>A 12421-2023</t>
        </is>
      </c>
      <c r="B3104" s="1" t="n">
        <v>44999.52975694444</v>
      </c>
      <c r="C3104" s="1" t="n">
        <v>45952</v>
      </c>
      <c r="D3104" t="inlineStr">
        <is>
          <t>ÖREBRO LÄN</t>
        </is>
      </c>
      <c r="E3104" t="inlineStr">
        <is>
          <t>ASKERSUND</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37066-2023</t>
        </is>
      </c>
      <c r="B3105" s="1" t="n">
        <v>45155</v>
      </c>
      <c r="C3105" s="1" t="n">
        <v>45952</v>
      </c>
      <c r="D3105" t="inlineStr">
        <is>
          <t>ÖREBRO LÄN</t>
        </is>
      </c>
      <c r="E3105" t="inlineStr">
        <is>
          <t>LJUSNARSBERG</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12482-2023</t>
        </is>
      </c>
      <c r="B3106" s="1" t="n">
        <v>44999.65438657408</v>
      </c>
      <c r="C3106" s="1" t="n">
        <v>45952</v>
      </c>
      <c r="D3106" t="inlineStr">
        <is>
          <t>ÖREBRO LÄN</t>
        </is>
      </c>
      <c r="E3106" t="inlineStr">
        <is>
          <t>LJUSNARSBERG</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22045-2024</t>
        </is>
      </c>
      <c r="B3107" s="1" t="n">
        <v>45443.61171296296</v>
      </c>
      <c r="C3107" s="1" t="n">
        <v>45952</v>
      </c>
      <c r="D3107" t="inlineStr">
        <is>
          <t>ÖREBRO LÄN</t>
        </is>
      </c>
      <c r="E3107" t="inlineStr">
        <is>
          <t>ÖREBRO</t>
        </is>
      </c>
      <c r="F3107" t="inlineStr">
        <is>
          <t>Övriga Aktiebolag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59804-2023</t>
        </is>
      </c>
      <c r="B3108" s="1" t="n">
        <v>45257.48188657407</v>
      </c>
      <c r="C3108" s="1" t="n">
        <v>45952</v>
      </c>
      <c r="D3108" t="inlineStr">
        <is>
          <t>ÖREBRO LÄN</t>
        </is>
      </c>
      <c r="E3108" t="inlineStr">
        <is>
          <t>LINDESBERG</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31893-2022</t>
        </is>
      </c>
      <c r="B3109" s="1" t="n">
        <v>44777</v>
      </c>
      <c r="C3109" s="1" t="n">
        <v>45952</v>
      </c>
      <c r="D3109" t="inlineStr">
        <is>
          <t>ÖREBRO LÄN</t>
        </is>
      </c>
      <c r="E3109" t="inlineStr">
        <is>
          <t>HALLSBERG</t>
        </is>
      </c>
      <c r="F3109" t="inlineStr">
        <is>
          <t>Övriga Aktiebolag</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49183-2025</t>
        </is>
      </c>
      <c r="B3110" s="1" t="n">
        <v>45938.39741898148</v>
      </c>
      <c r="C3110" s="1" t="n">
        <v>45952</v>
      </c>
      <c r="D3110" t="inlineStr">
        <is>
          <t>ÖREBRO LÄN</t>
        </is>
      </c>
      <c r="E3110" t="inlineStr">
        <is>
          <t>LINDESBERG</t>
        </is>
      </c>
      <c r="G3110" t="n">
        <v>4.4</v>
      </c>
      <c r="H3110" t="n">
        <v>0</v>
      </c>
      <c r="I3110" t="n">
        <v>0</v>
      </c>
      <c r="J3110" t="n">
        <v>0</v>
      </c>
      <c r="K3110" t="n">
        <v>0</v>
      </c>
      <c r="L3110" t="n">
        <v>0</v>
      </c>
      <c r="M3110" t="n">
        <v>0</v>
      </c>
      <c r="N3110" t="n">
        <v>0</v>
      </c>
      <c r="O3110" t="n">
        <v>0</v>
      </c>
      <c r="P3110" t="n">
        <v>0</v>
      </c>
      <c r="Q3110" t="n">
        <v>0</v>
      </c>
      <c r="R3110" s="2" t="inlineStr"/>
    </row>
    <row r="3111" ht="15" customHeight="1">
      <c r="A3111" t="inlineStr">
        <is>
          <t>A 40758-2021</t>
        </is>
      </c>
      <c r="B3111" s="1" t="n">
        <v>44420</v>
      </c>
      <c r="C3111" s="1" t="n">
        <v>45952</v>
      </c>
      <c r="D3111" t="inlineStr">
        <is>
          <t>ÖREBRO LÄN</t>
        </is>
      </c>
      <c r="E3111" t="inlineStr">
        <is>
          <t>LINDESBERG</t>
        </is>
      </c>
      <c r="G3111" t="n">
        <v>5</v>
      </c>
      <c r="H3111" t="n">
        <v>0</v>
      </c>
      <c r="I3111" t="n">
        <v>0</v>
      </c>
      <c r="J3111" t="n">
        <v>0</v>
      </c>
      <c r="K3111" t="n">
        <v>0</v>
      </c>
      <c r="L3111" t="n">
        <v>0</v>
      </c>
      <c r="M3111" t="n">
        <v>0</v>
      </c>
      <c r="N3111" t="n">
        <v>0</v>
      </c>
      <c r="O3111" t="n">
        <v>0</v>
      </c>
      <c r="P3111" t="n">
        <v>0</v>
      </c>
      <c r="Q3111" t="n">
        <v>0</v>
      </c>
      <c r="R3111" s="2" t="inlineStr"/>
    </row>
    <row r="3112" ht="15" customHeight="1">
      <c r="A3112" t="inlineStr">
        <is>
          <t>A 10368-2021</t>
        </is>
      </c>
      <c r="B3112" s="1" t="n">
        <v>44257</v>
      </c>
      <c r="C3112" s="1" t="n">
        <v>45952</v>
      </c>
      <c r="D3112" t="inlineStr">
        <is>
          <t>ÖREBRO LÄN</t>
        </is>
      </c>
      <c r="E3112" t="inlineStr">
        <is>
          <t>ÖREBRO</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5643-2025</t>
        </is>
      </c>
      <c r="B3113" s="1" t="n">
        <v>45693</v>
      </c>
      <c r="C3113" s="1" t="n">
        <v>45952</v>
      </c>
      <c r="D3113" t="inlineStr">
        <is>
          <t>ÖREBRO LÄN</t>
        </is>
      </c>
      <c r="E3113" t="inlineStr">
        <is>
          <t>ÖREBRO</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23934-2025</t>
        </is>
      </c>
      <c r="B3114" s="1" t="n">
        <v>45795.71547453704</v>
      </c>
      <c r="C3114" s="1" t="n">
        <v>45952</v>
      </c>
      <c r="D3114" t="inlineStr">
        <is>
          <t>ÖREBRO LÄN</t>
        </is>
      </c>
      <c r="E3114" t="inlineStr">
        <is>
          <t>LINDESBERG</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61691-2023</t>
        </is>
      </c>
      <c r="B3115" s="1" t="n">
        <v>45265.64142361111</v>
      </c>
      <c r="C3115" s="1" t="n">
        <v>45952</v>
      </c>
      <c r="D3115" t="inlineStr">
        <is>
          <t>ÖREBRO LÄN</t>
        </is>
      </c>
      <c r="E3115" t="inlineStr">
        <is>
          <t>LINDESBERG</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18892-2024</t>
        </is>
      </c>
      <c r="B3116" s="1" t="n">
        <v>45427.32600694444</v>
      </c>
      <c r="C3116" s="1" t="n">
        <v>45952</v>
      </c>
      <c r="D3116" t="inlineStr">
        <is>
          <t>ÖREBRO LÄN</t>
        </is>
      </c>
      <c r="E3116" t="inlineStr">
        <is>
          <t>HALLSBERG</t>
        </is>
      </c>
      <c r="G3116" t="n">
        <v>2.4</v>
      </c>
      <c r="H3116" t="n">
        <v>0</v>
      </c>
      <c r="I3116" t="n">
        <v>0</v>
      </c>
      <c r="J3116" t="n">
        <v>0</v>
      </c>
      <c r="K3116" t="n">
        <v>0</v>
      </c>
      <c r="L3116" t="n">
        <v>0</v>
      </c>
      <c r="M3116" t="n">
        <v>0</v>
      </c>
      <c r="N3116" t="n">
        <v>0</v>
      </c>
      <c r="O3116" t="n">
        <v>0</v>
      </c>
      <c r="P3116" t="n">
        <v>0</v>
      </c>
      <c r="Q3116" t="n">
        <v>0</v>
      </c>
      <c r="R3116" s="2" t="inlineStr"/>
    </row>
    <row r="3117" ht="15" customHeight="1">
      <c r="A3117" t="inlineStr">
        <is>
          <t>A 5237-2025</t>
        </is>
      </c>
      <c r="B3117" s="1" t="n">
        <v>45692.30760416666</v>
      </c>
      <c r="C3117" s="1" t="n">
        <v>45952</v>
      </c>
      <c r="D3117" t="inlineStr">
        <is>
          <t>ÖREBRO LÄN</t>
        </is>
      </c>
      <c r="E3117" t="inlineStr">
        <is>
          <t>HÄLLEFORS</t>
        </is>
      </c>
      <c r="F3117" t="inlineStr">
        <is>
          <t>Bergvik skog väst AB</t>
        </is>
      </c>
      <c r="G3117" t="n">
        <v>4.6</v>
      </c>
      <c r="H3117" t="n">
        <v>0</v>
      </c>
      <c r="I3117" t="n">
        <v>0</v>
      </c>
      <c r="J3117" t="n">
        <v>0</v>
      </c>
      <c r="K3117" t="n">
        <v>0</v>
      </c>
      <c r="L3117" t="n">
        <v>0</v>
      </c>
      <c r="M3117" t="n">
        <v>0</v>
      </c>
      <c r="N3117" t="n">
        <v>0</v>
      </c>
      <c r="O3117" t="n">
        <v>0</v>
      </c>
      <c r="P3117" t="n">
        <v>0</v>
      </c>
      <c r="Q3117" t="n">
        <v>0</v>
      </c>
      <c r="R3117" s="2" t="inlineStr"/>
    </row>
    <row r="3118" ht="15" customHeight="1">
      <c r="A3118" t="inlineStr">
        <is>
          <t>A 1004-2024</t>
        </is>
      </c>
      <c r="B3118" s="1" t="n">
        <v>45301</v>
      </c>
      <c r="C3118" s="1" t="n">
        <v>45952</v>
      </c>
      <c r="D3118" t="inlineStr">
        <is>
          <t>ÖREBRO LÄN</t>
        </is>
      </c>
      <c r="E3118" t="inlineStr">
        <is>
          <t>ASKERSUND</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24043-2024</t>
        </is>
      </c>
      <c r="B3119" s="1" t="n">
        <v>45456.48927083334</v>
      </c>
      <c r="C3119" s="1" t="n">
        <v>45952</v>
      </c>
      <c r="D3119" t="inlineStr">
        <is>
          <t>ÖREBRO LÄN</t>
        </is>
      </c>
      <c r="E3119" t="inlineStr">
        <is>
          <t>LINDESBERG</t>
        </is>
      </c>
      <c r="G3119" t="n">
        <v>6.2</v>
      </c>
      <c r="H3119" t="n">
        <v>0</v>
      </c>
      <c r="I3119" t="n">
        <v>0</v>
      </c>
      <c r="J3119" t="n">
        <v>0</v>
      </c>
      <c r="K3119" t="n">
        <v>0</v>
      </c>
      <c r="L3119" t="n">
        <v>0</v>
      </c>
      <c r="M3119" t="n">
        <v>0</v>
      </c>
      <c r="N3119" t="n">
        <v>0</v>
      </c>
      <c r="O3119" t="n">
        <v>0</v>
      </c>
      <c r="P3119" t="n">
        <v>0</v>
      </c>
      <c r="Q3119" t="n">
        <v>0</v>
      </c>
      <c r="R3119" s="2" t="inlineStr"/>
    </row>
    <row r="3120" ht="15" customHeight="1">
      <c r="A3120" t="inlineStr">
        <is>
          <t>A 5042-2025</t>
        </is>
      </c>
      <c r="B3120" s="1" t="n">
        <v>45691.43619212963</v>
      </c>
      <c r="C3120" s="1" t="n">
        <v>45952</v>
      </c>
      <c r="D3120" t="inlineStr">
        <is>
          <t>ÖREBRO LÄN</t>
        </is>
      </c>
      <c r="E3120" t="inlineStr">
        <is>
          <t>HÄLLEFORS</t>
        </is>
      </c>
      <c r="F3120" t="inlineStr">
        <is>
          <t>Bergvik skog väst AB</t>
        </is>
      </c>
      <c r="G3120" t="n">
        <v>3.3</v>
      </c>
      <c r="H3120" t="n">
        <v>0</v>
      </c>
      <c r="I3120" t="n">
        <v>0</v>
      </c>
      <c r="J3120" t="n">
        <v>0</v>
      </c>
      <c r="K3120" t="n">
        <v>0</v>
      </c>
      <c r="L3120" t="n">
        <v>0</v>
      </c>
      <c r="M3120" t="n">
        <v>0</v>
      </c>
      <c r="N3120" t="n">
        <v>0</v>
      </c>
      <c r="O3120" t="n">
        <v>0</v>
      </c>
      <c r="P3120" t="n">
        <v>0</v>
      </c>
      <c r="Q3120" t="n">
        <v>0</v>
      </c>
      <c r="R3120" s="2" t="inlineStr"/>
    </row>
    <row r="3121" ht="15" customHeight="1">
      <c r="A3121" t="inlineStr">
        <is>
          <t>A 49444-2025</t>
        </is>
      </c>
      <c r="B3121" s="1" t="n">
        <v>45938.92496527778</v>
      </c>
      <c r="C3121" s="1" t="n">
        <v>45952</v>
      </c>
      <c r="D3121" t="inlineStr">
        <is>
          <t>ÖREBRO LÄN</t>
        </is>
      </c>
      <c r="E3121" t="inlineStr">
        <is>
          <t>LAXÅ</t>
        </is>
      </c>
      <c r="F3121" t="inlineStr">
        <is>
          <t>Sveaskog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49445-2025</t>
        </is>
      </c>
      <c r="B3122" s="1" t="n">
        <v>45938.9259375</v>
      </c>
      <c r="C3122" s="1" t="n">
        <v>45952</v>
      </c>
      <c r="D3122" t="inlineStr">
        <is>
          <t>ÖREBRO LÄN</t>
        </is>
      </c>
      <c r="E3122" t="inlineStr">
        <is>
          <t>LAXÅ</t>
        </is>
      </c>
      <c r="F3122" t="inlineStr">
        <is>
          <t>Sveaskog</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2445-2025</t>
        </is>
      </c>
      <c r="B3123" s="1" t="n">
        <v>45674</v>
      </c>
      <c r="C3123" s="1" t="n">
        <v>45952</v>
      </c>
      <c r="D3123" t="inlineStr">
        <is>
          <t>ÖREBRO LÄN</t>
        </is>
      </c>
      <c r="E3123" t="inlineStr">
        <is>
          <t>ASKERSUND</t>
        </is>
      </c>
      <c r="G3123" t="n">
        <v>0.3</v>
      </c>
      <c r="H3123" t="n">
        <v>0</v>
      </c>
      <c r="I3123" t="n">
        <v>0</v>
      </c>
      <c r="J3123" t="n">
        <v>0</v>
      </c>
      <c r="K3123" t="n">
        <v>0</v>
      </c>
      <c r="L3123" t="n">
        <v>0</v>
      </c>
      <c r="M3123" t="n">
        <v>0</v>
      </c>
      <c r="N3123" t="n">
        <v>0</v>
      </c>
      <c r="O3123" t="n">
        <v>0</v>
      </c>
      <c r="P3123" t="n">
        <v>0</v>
      </c>
      <c r="Q3123" t="n">
        <v>0</v>
      </c>
      <c r="R3123" s="2" t="inlineStr"/>
    </row>
    <row r="3124" ht="15" customHeight="1">
      <c r="A3124" t="inlineStr">
        <is>
          <t>A 4284-2025</t>
        </is>
      </c>
      <c r="B3124" s="1" t="n">
        <v>45685</v>
      </c>
      <c r="C3124" s="1" t="n">
        <v>45952</v>
      </c>
      <c r="D3124" t="inlineStr">
        <is>
          <t>ÖREBRO LÄN</t>
        </is>
      </c>
      <c r="E3124" t="inlineStr">
        <is>
          <t>ÖREBRO</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4298-2025</t>
        </is>
      </c>
      <c r="B3125" s="1" t="n">
        <v>45685</v>
      </c>
      <c r="C3125" s="1" t="n">
        <v>45952</v>
      </c>
      <c r="D3125" t="inlineStr">
        <is>
          <t>ÖREBRO LÄN</t>
        </is>
      </c>
      <c r="E3125" t="inlineStr">
        <is>
          <t>LINDESBERG</t>
        </is>
      </c>
      <c r="G3125" t="n">
        <v>13.5</v>
      </c>
      <c r="H3125" t="n">
        <v>0</v>
      </c>
      <c r="I3125" t="n">
        <v>0</v>
      </c>
      <c r="J3125" t="n">
        <v>0</v>
      </c>
      <c r="K3125" t="n">
        <v>0</v>
      </c>
      <c r="L3125" t="n">
        <v>0</v>
      </c>
      <c r="M3125" t="n">
        <v>0</v>
      </c>
      <c r="N3125" t="n">
        <v>0</v>
      </c>
      <c r="O3125" t="n">
        <v>0</v>
      </c>
      <c r="P3125" t="n">
        <v>0</v>
      </c>
      <c r="Q3125" t="n">
        <v>0</v>
      </c>
      <c r="R3125" s="2" t="inlineStr"/>
    </row>
    <row r="3126" ht="15" customHeight="1">
      <c r="A3126" t="inlineStr">
        <is>
          <t>A 24911-2025</t>
        </is>
      </c>
      <c r="B3126" s="1" t="n">
        <v>45799.53796296296</v>
      </c>
      <c r="C3126" s="1" t="n">
        <v>45952</v>
      </c>
      <c r="D3126" t="inlineStr">
        <is>
          <t>ÖREBRO LÄN</t>
        </is>
      </c>
      <c r="E3126" t="inlineStr">
        <is>
          <t>LAXÅ</t>
        </is>
      </c>
      <c r="G3126" t="n">
        <v>1.7</v>
      </c>
      <c r="H3126" t="n">
        <v>0</v>
      </c>
      <c r="I3126" t="n">
        <v>0</v>
      </c>
      <c r="J3126" t="n">
        <v>0</v>
      </c>
      <c r="K3126" t="n">
        <v>0</v>
      </c>
      <c r="L3126" t="n">
        <v>0</v>
      </c>
      <c r="M3126" t="n">
        <v>0</v>
      </c>
      <c r="N3126" t="n">
        <v>0</v>
      </c>
      <c r="O3126" t="n">
        <v>0</v>
      </c>
      <c r="P3126" t="n">
        <v>0</v>
      </c>
      <c r="Q3126" t="n">
        <v>0</v>
      </c>
      <c r="R3126" s="2" t="inlineStr"/>
    </row>
    <row r="3127" ht="15" customHeight="1">
      <c r="A3127" t="inlineStr">
        <is>
          <t>A 36963-2021</t>
        </is>
      </c>
      <c r="B3127" s="1" t="n">
        <v>44393</v>
      </c>
      <c r="C3127" s="1" t="n">
        <v>45952</v>
      </c>
      <c r="D3127" t="inlineStr">
        <is>
          <t>ÖREBRO LÄN</t>
        </is>
      </c>
      <c r="E3127" t="inlineStr">
        <is>
          <t>DEGERFORS</t>
        </is>
      </c>
      <c r="F3127" t="inlineStr">
        <is>
          <t>Sveaskog</t>
        </is>
      </c>
      <c r="G3127" t="n">
        <v>4.1</v>
      </c>
      <c r="H3127" t="n">
        <v>0</v>
      </c>
      <c r="I3127" t="n">
        <v>0</v>
      </c>
      <c r="J3127" t="n">
        <v>0</v>
      </c>
      <c r="K3127" t="n">
        <v>0</v>
      </c>
      <c r="L3127" t="n">
        <v>0</v>
      </c>
      <c r="M3127" t="n">
        <v>0</v>
      </c>
      <c r="N3127" t="n">
        <v>0</v>
      </c>
      <c r="O3127" t="n">
        <v>0</v>
      </c>
      <c r="P3127" t="n">
        <v>0</v>
      </c>
      <c r="Q3127" t="n">
        <v>0</v>
      </c>
      <c r="R3127" s="2" t="inlineStr"/>
    </row>
    <row r="3128" ht="15" customHeight="1">
      <c r="A3128" t="inlineStr">
        <is>
          <t>A 14522-2025</t>
        </is>
      </c>
      <c r="B3128" s="1" t="n">
        <v>45741.64491898148</v>
      </c>
      <c r="C3128" s="1" t="n">
        <v>45952</v>
      </c>
      <c r="D3128" t="inlineStr">
        <is>
          <t>ÖREBRO LÄN</t>
        </is>
      </c>
      <c r="E3128" t="inlineStr">
        <is>
          <t>LINDESBERG</t>
        </is>
      </c>
      <c r="G3128" t="n">
        <v>4.5</v>
      </c>
      <c r="H3128" t="n">
        <v>0</v>
      </c>
      <c r="I3128" t="n">
        <v>0</v>
      </c>
      <c r="J3128" t="n">
        <v>0</v>
      </c>
      <c r="K3128" t="n">
        <v>0</v>
      </c>
      <c r="L3128" t="n">
        <v>0</v>
      </c>
      <c r="M3128" t="n">
        <v>0</v>
      </c>
      <c r="N3128" t="n">
        <v>0</v>
      </c>
      <c r="O3128" t="n">
        <v>0</v>
      </c>
      <c r="P3128" t="n">
        <v>0</v>
      </c>
      <c r="Q3128" t="n">
        <v>0</v>
      </c>
      <c r="R3128" s="2" t="inlineStr"/>
    </row>
    <row r="3129" ht="15" customHeight="1">
      <c r="A3129" t="inlineStr">
        <is>
          <t>A 36001-2021</t>
        </is>
      </c>
      <c r="B3129" s="1" t="n">
        <v>44389</v>
      </c>
      <c r="C3129" s="1" t="n">
        <v>45952</v>
      </c>
      <c r="D3129" t="inlineStr">
        <is>
          <t>ÖREBRO LÄN</t>
        </is>
      </c>
      <c r="E3129" t="inlineStr">
        <is>
          <t>LINDESBERG</t>
        </is>
      </c>
      <c r="F3129" t="inlineStr">
        <is>
          <t>Sveaskog</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46030-2024</t>
        </is>
      </c>
      <c r="B3130" s="1" t="n">
        <v>45580.70377314815</v>
      </c>
      <c r="C3130" s="1" t="n">
        <v>45952</v>
      </c>
      <c r="D3130" t="inlineStr">
        <is>
          <t>ÖREBRO LÄN</t>
        </is>
      </c>
      <c r="E3130" t="inlineStr">
        <is>
          <t>ÖREBRO</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33280-2024</t>
        </is>
      </c>
      <c r="B3131" s="1" t="n">
        <v>45518.71048611111</v>
      </c>
      <c r="C3131" s="1" t="n">
        <v>45952</v>
      </c>
      <c r="D3131" t="inlineStr">
        <is>
          <t>ÖREBRO LÄN</t>
        </is>
      </c>
      <c r="E3131" t="inlineStr">
        <is>
          <t>LINDESBERG</t>
        </is>
      </c>
      <c r="F3131" t="inlineStr">
        <is>
          <t>Sveaskog</t>
        </is>
      </c>
      <c r="G3131" t="n">
        <v>3.2</v>
      </c>
      <c r="H3131" t="n">
        <v>0</v>
      </c>
      <c r="I3131" t="n">
        <v>0</v>
      </c>
      <c r="J3131" t="n">
        <v>0</v>
      </c>
      <c r="K3131" t="n">
        <v>0</v>
      </c>
      <c r="L3131" t="n">
        <v>0</v>
      </c>
      <c r="M3131" t="n">
        <v>0</v>
      </c>
      <c r="N3131" t="n">
        <v>0</v>
      </c>
      <c r="O3131" t="n">
        <v>0</v>
      </c>
      <c r="P3131" t="n">
        <v>0</v>
      </c>
      <c r="Q3131" t="n">
        <v>0</v>
      </c>
      <c r="R3131" s="2" t="inlineStr"/>
    </row>
    <row r="3132" ht="15" customHeight="1">
      <c r="A3132" t="inlineStr">
        <is>
          <t>A 33281-2024</t>
        </is>
      </c>
      <c r="B3132" s="1" t="n">
        <v>45518.71202546296</v>
      </c>
      <c r="C3132" s="1" t="n">
        <v>45952</v>
      </c>
      <c r="D3132" t="inlineStr">
        <is>
          <t>ÖREBRO LÄN</t>
        </is>
      </c>
      <c r="E3132" t="inlineStr">
        <is>
          <t>LINDESBERG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33283-2024</t>
        </is>
      </c>
      <c r="B3133" s="1" t="n">
        <v>45518.71591435185</v>
      </c>
      <c r="C3133" s="1" t="n">
        <v>45952</v>
      </c>
      <c r="D3133" t="inlineStr">
        <is>
          <t>ÖREBRO LÄN</t>
        </is>
      </c>
      <c r="E3133" t="inlineStr">
        <is>
          <t>LINDESBERG</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3457-2025</t>
        </is>
      </c>
      <c r="B3134" s="1" t="n">
        <v>45680</v>
      </c>
      <c r="C3134" s="1" t="n">
        <v>45952</v>
      </c>
      <c r="D3134" t="inlineStr">
        <is>
          <t>ÖREBRO LÄN</t>
        </is>
      </c>
      <c r="E3134" t="inlineStr">
        <is>
          <t>ASKERSUND</t>
        </is>
      </c>
      <c r="F3134" t="inlineStr">
        <is>
          <t>Sveaskog</t>
        </is>
      </c>
      <c r="G3134" t="n">
        <v>2.9</v>
      </c>
      <c r="H3134" t="n">
        <v>0</v>
      </c>
      <c r="I3134" t="n">
        <v>0</v>
      </c>
      <c r="J3134" t="n">
        <v>0</v>
      </c>
      <c r="K3134" t="n">
        <v>0</v>
      </c>
      <c r="L3134" t="n">
        <v>0</v>
      </c>
      <c r="M3134" t="n">
        <v>0</v>
      </c>
      <c r="N3134" t="n">
        <v>0</v>
      </c>
      <c r="O3134" t="n">
        <v>0</v>
      </c>
      <c r="P3134" t="n">
        <v>0</v>
      </c>
      <c r="Q3134" t="n">
        <v>0</v>
      </c>
      <c r="R3134" s="2" t="inlineStr"/>
    </row>
    <row r="3135" ht="15" customHeight="1">
      <c r="A3135" t="inlineStr">
        <is>
          <t>A 16927-2025</t>
        </is>
      </c>
      <c r="B3135" s="1" t="n">
        <v>45755.39212962963</v>
      </c>
      <c r="C3135" s="1" t="n">
        <v>45952</v>
      </c>
      <c r="D3135" t="inlineStr">
        <is>
          <t>ÖREBRO LÄN</t>
        </is>
      </c>
      <c r="E3135" t="inlineStr">
        <is>
          <t>HÄLLEFORS</t>
        </is>
      </c>
      <c r="F3135" t="inlineStr">
        <is>
          <t>Bergvik skog väst AB</t>
        </is>
      </c>
      <c r="G3135" t="n">
        <v>4.1</v>
      </c>
      <c r="H3135" t="n">
        <v>0</v>
      </c>
      <c r="I3135" t="n">
        <v>0</v>
      </c>
      <c r="J3135" t="n">
        <v>0</v>
      </c>
      <c r="K3135" t="n">
        <v>0</v>
      </c>
      <c r="L3135" t="n">
        <v>0</v>
      </c>
      <c r="M3135" t="n">
        <v>0</v>
      </c>
      <c r="N3135" t="n">
        <v>0</v>
      </c>
      <c r="O3135" t="n">
        <v>0</v>
      </c>
      <c r="P3135" t="n">
        <v>0</v>
      </c>
      <c r="Q3135" t="n">
        <v>0</v>
      </c>
      <c r="R3135" s="2" t="inlineStr"/>
    </row>
    <row r="3136" ht="15" customHeight="1">
      <c r="A3136" t="inlineStr">
        <is>
          <t>A 53597-2024</t>
        </is>
      </c>
      <c r="B3136" s="1" t="n">
        <v>45614.68083333333</v>
      </c>
      <c r="C3136" s="1" t="n">
        <v>45952</v>
      </c>
      <c r="D3136" t="inlineStr">
        <is>
          <t>ÖREBRO LÄN</t>
        </is>
      </c>
      <c r="E3136" t="inlineStr">
        <is>
          <t>LINDESBERG</t>
        </is>
      </c>
      <c r="G3136" t="n">
        <v>1.1</v>
      </c>
      <c r="H3136" t="n">
        <v>0</v>
      </c>
      <c r="I3136" t="n">
        <v>0</v>
      </c>
      <c r="J3136" t="n">
        <v>0</v>
      </c>
      <c r="K3136" t="n">
        <v>0</v>
      </c>
      <c r="L3136" t="n">
        <v>0</v>
      </c>
      <c r="M3136" t="n">
        <v>0</v>
      </c>
      <c r="N3136" t="n">
        <v>0</v>
      </c>
      <c r="O3136" t="n">
        <v>0</v>
      </c>
      <c r="P3136" t="n">
        <v>0</v>
      </c>
      <c r="Q3136" t="n">
        <v>0</v>
      </c>
      <c r="R3136" s="2" t="inlineStr"/>
    </row>
    <row r="3137" ht="15" customHeight="1">
      <c r="A3137" t="inlineStr">
        <is>
          <t>A 2282-2022</t>
        </is>
      </c>
      <c r="B3137" s="1" t="n">
        <v>44578</v>
      </c>
      <c r="C3137" s="1" t="n">
        <v>45952</v>
      </c>
      <c r="D3137" t="inlineStr">
        <is>
          <t>ÖREBRO LÄN</t>
        </is>
      </c>
      <c r="E3137" t="inlineStr">
        <is>
          <t>ASKERSUND</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2771-2023</t>
        </is>
      </c>
      <c r="B3138" s="1" t="n">
        <v>44944.64704861111</v>
      </c>
      <c r="C3138" s="1" t="n">
        <v>45952</v>
      </c>
      <c r="D3138" t="inlineStr">
        <is>
          <t>ÖREBRO LÄN</t>
        </is>
      </c>
      <c r="E3138" t="inlineStr">
        <is>
          <t>ÖREBRO</t>
        </is>
      </c>
      <c r="G3138" t="n">
        <v>15.4</v>
      </c>
      <c r="H3138" t="n">
        <v>0</v>
      </c>
      <c r="I3138" t="n">
        <v>0</v>
      </c>
      <c r="J3138" t="n">
        <v>0</v>
      </c>
      <c r="K3138" t="n">
        <v>0</v>
      </c>
      <c r="L3138" t="n">
        <v>0</v>
      </c>
      <c r="M3138" t="n">
        <v>0</v>
      </c>
      <c r="N3138" t="n">
        <v>0</v>
      </c>
      <c r="O3138" t="n">
        <v>0</v>
      </c>
      <c r="P3138" t="n">
        <v>0</v>
      </c>
      <c r="Q3138" t="n">
        <v>0</v>
      </c>
      <c r="R3138" s="2" t="inlineStr"/>
    </row>
    <row r="3139" ht="15" customHeight="1">
      <c r="A3139" t="inlineStr">
        <is>
          <t>A 24822-2024</t>
        </is>
      </c>
      <c r="B3139" s="1" t="n">
        <v>45461.34818287037</v>
      </c>
      <c r="C3139" s="1" t="n">
        <v>45952</v>
      </c>
      <c r="D3139" t="inlineStr">
        <is>
          <t>ÖREBRO LÄN</t>
        </is>
      </c>
      <c r="E3139" t="inlineStr">
        <is>
          <t>NORA</t>
        </is>
      </c>
      <c r="G3139" t="n">
        <v>5.9</v>
      </c>
      <c r="H3139" t="n">
        <v>0</v>
      </c>
      <c r="I3139" t="n">
        <v>0</v>
      </c>
      <c r="J3139" t="n">
        <v>0</v>
      </c>
      <c r="K3139" t="n">
        <v>0</v>
      </c>
      <c r="L3139" t="n">
        <v>0</v>
      </c>
      <c r="M3139" t="n">
        <v>0</v>
      </c>
      <c r="N3139" t="n">
        <v>0</v>
      </c>
      <c r="O3139" t="n">
        <v>0</v>
      </c>
      <c r="P3139" t="n">
        <v>0</v>
      </c>
      <c r="Q3139" t="n">
        <v>0</v>
      </c>
      <c r="R3139" s="2" t="inlineStr"/>
    </row>
    <row r="3140" ht="15" customHeight="1">
      <c r="A3140" t="inlineStr">
        <is>
          <t>A 3-2024</t>
        </is>
      </c>
      <c r="B3140" s="1" t="n">
        <v>45292</v>
      </c>
      <c r="C3140" s="1" t="n">
        <v>45952</v>
      </c>
      <c r="D3140" t="inlineStr">
        <is>
          <t>ÖREBRO LÄN</t>
        </is>
      </c>
      <c r="E3140" t="inlineStr">
        <is>
          <t>ÖREBRO</t>
        </is>
      </c>
      <c r="G3140" t="n">
        <v>2.7</v>
      </c>
      <c r="H3140" t="n">
        <v>0</v>
      </c>
      <c r="I3140" t="n">
        <v>0</v>
      </c>
      <c r="J3140" t="n">
        <v>0</v>
      </c>
      <c r="K3140" t="n">
        <v>0</v>
      </c>
      <c r="L3140" t="n">
        <v>0</v>
      </c>
      <c r="M3140" t="n">
        <v>0</v>
      </c>
      <c r="N3140" t="n">
        <v>0</v>
      </c>
      <c r="O3140" t="n">
        <v>0</v>
      </c>
      <c r="P3140" t="n">
        <v>0</v>
      </c>
      <c r="Q3140" t="n">
        <v>0</v>
      </c>
      <c r="R3140" s="2" t="inlineStr"/>
    </row>
    <row r="3141" ht="15" customHeight="1">
      <c r="A3141" t="inlineStr">
        <is>
          <t>A 21915-2025</t>
        </is>
      </c>
      <c r="B3141" s="1" t="n">
        <v>45784</v>
      </c>
      <c r="C3141" s="1" t="n">
        <v>45952</v>
      </c>
      <c r="D3141" t="inlineStr">
        <is>
          <t>ÖREBRO LÄN</t>
        </is>
      </c>
      <c r="E3141" t="inlineStr">
        <is>
          <t>KARLSKOGA</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5342-2024</t>
        </is>
      </c>
      <c r="B3142" s="1" t="n">
        <v>45331.44145833333</v>
      </c>
      <c r="C3142" s="1" t="n">
        <v>45952</v>
      </c>
      <c r="D3142" t="inlineStr">
        <is>
          <t>ÖREBRO LÄN</t>
        </is>
      </c>
      <c r="E3142" t="inlineStr">
        <is>
          <t>ÖREBRO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39140-2024</t>
        </is>
      </c>
      <c r="B3143" s="1" t="n">
        <v>45548</v>
      </c>
      <c r="C3143" s="1" t="n">
        <v>45952</v>
      </c>
      <c r="D3143" t="inlineStr">
        <is>
          <t>ÖREBRO LÄN</t>
        </is>
      </c>
      <c r="E3143" t="inlineStr">
        <is>
          <t>LINDESBERG</t>
        </is>
      </c>
      <c r="F3143" t="inlineStr">
        <is>
          <t>Sveaskog</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54515-2023</t>
        </is>
      </c>
      <c r="B3144" s="1" t="n">
        <v>45233.57033564815</v>
      </c>
      <c r="C3144" s="1" t="n">
        <v>45952</v>
      </c>
      <c r="D3144" t="inlineStr">
        <is>
          <t>ÖREBRO LÄN</t>
        </is>
      </c>
      <c r="E3144" t="inlineStr">
        <is>
          <t>DEGERFORS</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2039-2025</t>
        </is>
      </c>
      <c r="B3145" s="1" t="n">
        <v>45672</v>
      </c>
      <c r="C3145" s="1" t="n">
        <v>45952</v>
      </c>
      <c r="D3145" t="inlineStr">
        <is>
          <t>ÖREBRO LÄN</t>
        </is>
      </c>
      <c r="E3145" t="inlineStr">
        <is>
          <t>LEKEBERG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2076-2025</t>
        </is>
      </c>
      <c r="B3146" s="1" t="n">
        <v>45672</v>
      </c>
      <c r="C3146" s="1" t="n">
        <v>45952</v>
      </c>
      <c r="D3146" t="inlineStr">
        <is>
          <t>ÖREBRO LÄN</t>
        </is>
      </c>
      <c r="E3146" t="inlineStr">
        <is>
          <t>ÖREBRO</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43081-2021</t>
        </is>
      </c>
      <c r="B3147" s="1" t="n">
        <v>44431</v>
      </c>
      <c r="C3147" s="1" t="n">
        <v>45952</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43139-2021</t>
        </is>
      </c>
      <c r="B3148" s="1" t="n">
        <v>44431</v>
      </c>
      <c r="C3148" s="1" t="n">
        <v>45952</v>
      </c>
      <c r="D3148" t="inlineStr">
        <is>
          <t>ÖREBRO LÄN</t>
        </is>
      </c>
      <c r="E3148" t="inlineStr">
        <is>
          <t>ASKERSUND</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71295-2021</t>
        </is>
      </c>
      <c r="B3149" s="1" t="n">
        <v>44539.63009259259</v>
      </c>
      <c r="C3149" s="1" t="n">
        <v>45952</v>
      </c>
      <c r="D3149" t="inlineStr">
        <is>
          <t>ÖREBRO LÄN</t>
        </is>
      </c>
      <c r="E3149" t="inlineStr">
        <is>
          <t>ÖREBRO</t>
        </is>
      </c>
      <c r="G3149" t="n">
        <v>2.3</v>
      </c>
      <c r="H3149" t="n">
        <v>0</v>
      </c>
      <c r="I3149" t="n">
        <v>0</v>
      </c>
      <c r="J3149" t="n">
        <v>0</v>
      </c>
      <c r="K3149" t="n">
        <v>0</v>
      </c>
      <c r="L3149" t="n">
        <v>0</v>
      </c>
      <c r="M3149" t="n">
        <v>0</v>
      </c>
      <c r="N3149" t="n">
        <v>0</v>
      </c>
      <c r="O3149" t="n">
        <v>0</v>
      </c>
      <c r="P3149" t="n">
        <v>0</v>
      </c>
      <c r="Q3149" t="n">
        <v>0</v>
      </c>
      <c r="R3149" s="2" t="inlineStr"/>
    </row>
    <row r="3150" ht="15" customHeight="1">
      <c r="A3150" t="inlineStr">
        <is>
          <t>A 41838-2022</t>
        </is>
      </c>
      <c r="B3150" s="1" t="n">
        <v>44828</v>
      </c>
      <c r="C3150" s="1" t="n">
        <v>45952</v>
      </c>
      <c r="D3150" t="inlineStr">
        <is>
          <t>ÖREBRO LÄN</t>
        </is>
      </c>
      <c r="E3150" t="inlineStr">
        <is>
          <t>ASKERSUND</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24707-2025</t>
        </is>
      </c>
      <c r="B3151" s="1" t="n">
        <v>45798.81579861111</v>
      </c>
      <c r="C3151" s="1" t="n">
        <v>45952</v>
      </c>
      <c r="D3151" t="inlineStr">
        <is>
          <t>ÖREBRO LÄN</t>
        </is>
      </c>
      <c r="E3151" t="inlineStr">
        <is>
          <t>DEGERFORS</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18845-2023</t>
        </is>
      </c>
      <c r="B3152" s="1" t="n">
        <v>45042</v>
      </c>
      <c r="C3152" s="1" t="n">
        <v>45952</v>
      </c>
      <c r="D3152" t="inlineStr">
        <is>
          <t>ÖREBRO LÄN</t>
        </is>
      </c>
      <c r="E3152" t="inlineStr">
        <is>
          <t>LAXÅ</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32002-2023</t>
        </is>
      </c>
      <c r="B3153" s="1" t="n">
        <v>45119.46452546296</v>
      </c>
      <c r="C3153" s="1" t="n">
        <v>45952</v>
      </c>
      <c r="D3153" t="inlineStr">
        <is>
          <t>ÖREBRO LÄN</t>
        </is>
      </c>
      <c r="E3153" t="inlineStr">
        <is>
          <t>LINDESBERG</t>
        </is>
      </c>
      <c r="F3153" t="inlineStr">
        <is>
          <t>Kyrkan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21306-2024</t>
        </is>
      </c>
      <c r="B3154" s="1" t="n">
        <v>45440.67883101852</v>
      </c>
      <c r="C3154" s="1" t="n">
        <v>45952</v>
      </c>
      <c r="D3154" t="inlineStr">
        <is>
          <t>ÖREBRO LÄN</t>
        </is>
      </c>
      <c r="E3154" t="inlineStr">
        <is>
          <t>ÖREBRO</t>
        </is>
      </c>
      <c r="F3154" t="inlineStr">
        <is>
          <t>Övriga Aktiebolag</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21315-2024</t>
        </is>
      </c>
      <c r="B3155" s="1" t="n">
        <v>45440</v>
      </c>
      <c r="C3155" s="1" t="n">
        <v>45952</v>
      </c>
      <c r="D3155" t="inlineStr">
        <is>
          <t>ÖREBRO LÄN</t>
        </is>
      </c>
      <c r="E3155" t="inlineStr">
        <is>
          <t>HÄLLEFORS</t>
        </is>
      </c>
      <c r="G3155" t="n">
        <v>3.1</v>
      </c>
      <c r="H3155" t="n">
        <v>0</v>
      </c>
      <c r="I3155" t="n">
        <v>0</v>
      </c>
      <c r="J3155" t="n">
        <v>0</v>
      </c>
      <c r="K3155" t="n">
        <v>0</v>
      </c>
      <c r="L3155" t="n">
        <v>0</v>
      </c>
      <c r="M3155" t="n">
        <v>0</v>
      </c>
      <c r="N3155" t="n">
        <v>0</v>
      </c>
      <c r="O3155" t="n">
        <v>0</v>
      </c>
      <c r="P3155" t="n">
        <v>0</v>
      </c>
      <c r="Q3155" t="n">
        <v>0</v>
      </c>
      <c r="R3155" s="2" t="inlineStr"/>
    </row>
    <row r="3156" ht="15" customHeight="1">
      <c r="A3156" t="inlineStr">
        <is>
          <t>A 14456-2023</t>
        </is>
      </c>
      <c r="B3156" s="1" t="n">
        <v>45012.62157407407</v>
      </c>
      <c r="C3156" s="1" t="n">
        <v>45952</v>
      </c>
      <c r="D3156" t="inlineStr">
        <is>
          <t>ÖREBRO LÄN</t>
        </is>
      </c>
      <c r="E3156" t="inlineStr">
        <is>
          <t>HALLSBERG</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50048-2022</t>
        </is>
      </c>
      <c r="B3157" s="1" t="n">
        <v>44865.47030092592</v>
      </c>
      <c r="C3157" s="1" t="n">
        <v>45952</v>
      </c>
      <c r="D3157" t="inlineStr">
        <is>
          <t>ÖREBRO LÄN</t>
        </is>
      </c>
      <c r="E3157" t="inlineStr">
        <is>
          <t>ASKERSUND</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11516-2024</t>
        </is>
      </c>
      <c r="B3158" s="1" t="n">
        <v>45372</v>
      </c>
      <c r="C3158" s="1" t="n">
        <v>45952</v>
      </c>
      <c r="D3158" t="inlineStr">
        <is>
          <t>ÖREBRO LÄN</t>
        </is>
      </c>
      <c r="E3158" t="inlineStr">
        <is>
          <t>ÖREBRO</t>
        </is>
      </c>
      <c r="G3158" t="n">
        <v>10.7</v>
      </c>
      <c r="H3158" t="n">
        <v>0</v>
      </c>
      <c r="I3158" t="n">
        <v>0</v>
      </c>
      <c r="J3158" t="n">
        <v>0</v>
      </c>
      <c r="K3158" t="n">
        <v>0</v>
      </c>
      <c r="L3158" t="n">
        <v>0</v>
      </c>
      <c r="M3158" t="n">
        <v>0</v>
      </c>
      <c r="N3158" t="n">
        <v>0</v>
      </c>
      <c r="O3158" t="n">
        <v>0</v>
      </c>
      <c r="P3158" t="n">
        <v>0</v>
      </c>
      <c r="Q3158" t="n">
        <v>0</v>
      </c>
      <c r="R3158" s="2" t="inlineStr"/>
    </row>
    <row r="3159" ht="15" customHeight="1">
      <c r="A3159" t="inlineStr">
        <is>
          <t>A 36567-2024</t>
        </is>
      </c>
      <c r="B3159" s="1" t="n">
        <v>45537.4871412037</v>
      </c>
      <c r="C3159" s="1" t="n">
        <v>45952</v>
      </c>
      <c r="D3159" t="inlineStr">
        <is>
          <t>ÖREBRO LÄN</t>
        </is>
      </c>
      <c r="E3159" t="inlineStr">
        <is>
          <t>LAXÅ</t>
        </is>
      </c>
      <c r="F3159" t="inlineStr">
        <is>
          <t>Sveaskog</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12250-2025</t>
        </is>
      </c>
      <c r="B3160" s="1" t="n">
        <v>45729.60775462963</v>
      </c>
      <c r="C3160" s="1" t="n">
        <v>45952</v>
      </c>
      <c r="D3160" t="inlineStr">
        <is>
          <t>ÖREBRO LÄN</t>
        </is>
      </c>
      <c r="E3160" t="inlineStr">
        <is>
          <t>LINDESBERG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1257-2022</t>
        </is>
      </c>
      <c r="B3161" s="1" t="n">
        <v>44572</v>
      </c>
      <c r="C3161" s="1" t="n">
        <v>45952</v>
      </c>
      <c r="D3161" t="inlineStr">
        <is>
          <t>ÖREBRO LÄN</t>
        </is>
      </c>
      <c r="E3161" t="inlineStr">
        <is>
          <t>ÖREBRO</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7661-2024</t>
        </is>
      </c>
      <c r="B3162" s="1" t="n">
        <v>45348</v>
      </c>
      <c r="C3162" s="1" t="n">
        <v>45952</v>
      </c>
      <c r="D3162" t="inlineStr">
        <is>
          <t>ÖREBRO LÄN</t>
        </is>
      </c>
      <c r="E3162" t="inlineStr">
        <is>
          <t>LINDESBERG</t>
        </is>
      </c>
      <c r="G3162" t="n">
        <v>4.1</v>
      </c>
      <c r="H3162" t="n">
        <v>0</v>
      </c>
      <c r="I3162" t="n">
        <v>0</v>
      </c>
      <c r="J3162" t="n">
        <v>0</v>
      </c>
      <c r="K3162" t="n">
        <v>0</v>
      </c>
      <c r="L3162" t="n">
        <v>0</v>
      </c>
      <c r="M3162" t="n">
        <v>0</v>
      </c>
      <c r="N3162" t="n">
        <v>0</v>
      </c>
      <c r="O3162" t="n">
        <v>0</v>
      </c>
      <c r="P3162" t="n">
        <v>0</v>
      </c>
      <c r="Q3162" t="n">
        <v>0</v>
      </c>
      <c r="R3162" s="2" t="inlineStr"/>
    </row>
    <row r="3163" ht="15" customHeight="1">
      <c r="A3163" t="inlineStr">
        <is>
          <t>A 24908-2025</t>
        </is>
      </c>
      <c r="B3163" s="1" t="n">
        <v>45799.53336805556</v>
      </c>
      <c r="C3163" s="1" t="n">
        <v>45952</v>
      </c>
      <c r="D3163" t="inlineStr">
        <is>
          <t>ÖREBRO LÄN</t>
        </is>
      </c>
      <c r="E3163" t="inlineStr">
        <is>
          <t>LAXÅ</t>
        </is>
      </c>
      <c r="G3163" t="n">
        <v>1.4</v>
      </c>
      <c r="H3163" t="n">
        <v>0</v>
      </c>
      <c r="I3163" t="n">
        <v>0</v>
      </c>
      <c r="J3163" t="n">
        <v>0</v>
      </c>
      <c r="K3163" t="n">
        <v>0</v>
      </c>
      <c r="L3163" t="n">
        <v>0</v>
      </c>
      <c r="M3163" t="n">
        <v>0</v>
      </c>
      <c r="N3163" t="n">
        <v>0</v>
      </c>
      <c r="O3163" t="n">
        <v>0</v>
      </c>
      <c r="P3163" t="n">
        <v>0</v>
      </c>
      <c r="Q3163" t="n">
        <v>0</v>
      </c>
      <c r="R3163" s="2" t="inlineStr"/>
    </row>
    <row r="3164" ht="15" customHeight="1">
      <c r="A3164" t="inlineStr">
        <is>
          <t>A 5218-2024</t>
        </is>
      </c>
      <c r="B3164" s="1" t="n">
        <v>45330.64273148148</v>
      </c>
      <c r="C3164" s="1" t="n">
        <v>45952</v>
      </c>
      <c r="D3164" t="inlineStr">
        <is>
          <t>ÖREBRO LÄN</t>
        </is>
      </c>
      <c r="E3164" t="inlineStr">
        <is>
          <t>DEGERFORS</t>
        </is>
      </c>
      <c r="F3164" t="inlineStr">
        <is>
          <t>Sveaskog</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13757-2023</t>
        </is>
      </c>
      <c r="B3165" s="1" t="n">
        <v>45007.42442129629</v>
      </c>
      <c r="C3165" s="1" t="n">
        <v>45952</v>
      </c>
      <c r="D3165" t="inlineStr">
        <is>
          <t>ÖREBRO LÄN</t>
        </is>
      </c>
      <c r="E3165" t="inlineStr">
        <is>
          <t>HÄLLEFORS</t>
        </is>
      </c>
      <c r="F3165" t="inlineStr">
        <is>
          <t>Bergvik skog väst AB</t>
        </is>
      </c>
      <c r="G3165" t="n">
        <v>3.6</v>
      </c>
      <c r="H3165" t="n">
        <v>0</v>
      </c>
      <c r="I3165" t="n">
        <v>0</v>
      </c>
      <c r="J3165" t="n">
        <v>0</v>
      </c>
      <c r="K3165" t="n">
        <v>0</v>
      </c>
      <c r="L3165" t="n">
        <v>0</v>
      </c>
      <c r="M3165" t="n">
        <v>0</v>
      </c>
      <c r="N3165" t="n">
        <v>0</v>
      </c>
      <c r="O3165" t="n">
        <v>0</v>
      </c>
      <c r="P3165" t="n">
        <v>0</v>
      </c>
      <c r="Q3165" t="n">
        <v>0</v>
      </c>
      <c r="R3165" s="2" t="inlineStr"/>
    </row>
    <row r="3166" ht="15" customHeight="1">
      <c r="A3166" t="inlineStr">
        <is>
          <t>A 55182-2024</t>
        </is>
      </c>
      <c r="B3166" s="1" t="n">
        <v>45618</v>
      </c>
      <c r="C3166" s="1" t="n">
        <v>45952</v>
      </c>
      <c r="D3166" t="inlineStr">
        <is>
          <t>ÖREBRO LÄN</t>
        </is>
      </c>
      <c r="E3166" t="inlineStr">
        <is>
          <t>KARLSKOGA</t>
        </is>
      </c>
      <c r="G3166" t="n">
        <v>11.4</v>
      </c>
      <c r="H3166" t="n">
        <v>0</v>
      </c>
      <c r="I3166" t="n">
        <v>0</v>
      </c>
      <c r="J3166" t="n">
        <v>0</v>
      </c>
      <c r="K3166" t="n">
        <v>0</v>
      </c>
      <c r="L3166" t="n">
        <v>0</v>
      </c>
      <c r="M3166" t="n">
        <v>0</v>
      </c>
      <c r="N3166" t="n">
        <v>0</v>
      </c>
      <c r="O3166" t="n">
        <v>0</v>
      </c>
      <c r="P3166" t="n">
        <v>0</v>
      </c>
      <c r="Q3166" t="n">
        <v>0</v>
      </c>
      <c r="R3166" s="2" t="inlineStr"/>
    </row>
    <row r="3167" ht="15" customHeight="1">
      <c r="A3167" t="inlineStr">
        <is>
          <t>A 12082-2025</t>
        </is>
      </c>
      <c r="B3167" s="1" t="n">
        <v>45728</v>
      </c>
      <c r="C3167" s="1" t="n">
        <v>45952</v>
      </c>
      <c r="D3167" t="inlineStr">
        <is>
          <t>ÖREBRO LÄN</t>
        </is>
      </c>
      <c r="E3167" t="inlineStr">
        <is>
          <t>HÄLLEFORS</t>
        </is>
      </c>
      <c r="F3167" t="inlineStr">
        <is>
          <t>Bergvik skog väst AB</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40580-2025</t>
        </is>
      </c>
      <c r="B3168" s="1" t="n">
        <v>45896.51261574074</v>
      </c>
      <c r="C3168" s="1" t="n">
        <v>45952</v>
      </c>
      <c r="D3168" t="inlineStr">
        <is>
          <t>ÖREBRO LÄN</t>
        </is>
      </c>
      <c r="E3168" t="inlineStr">
        <is>
          <t>ASKERSUND</t>
        </is>
      </c>
      <c r="F3168" t="inlineStr">
        <is>
          <t>Kyrkan</t>
        </is>
      </c>
      <c r="G3168" t="n">
        <v>7.1</v>
      </c>
      <c r="H3168" t="n">
        <v>0</v>
      </c>
      <c r="I3168" t="n">
        <v>0</v>
      </c>
      <c r="J3168" t="n">
        <v>0</v>
      </c>
      <c r="K3168" t="n">
        <v>0</v>
      </c>
      <c r="L3168" t="n">
        <v>0</v>
      </c>
      <c r="M3168" t="n">
        <v>0</v>
      </c>
      <c r="N3168" t="n">
        <v>0</v>
      </c>
      <c r="O3168" t="n">
        <v>0</v>
      </c>
      <c r="P3168" t="n">
        <v>0</v>
      </c>
      <c r="Q3168" t="n">
        <v>0</v>
      </c>
      <c r="R3168" s="2" t="inlineStr"/>
    </row>
    <row r="3169" ht="15" customHeight="1">
      <c r="A3169" t="inlineStr">
        <is>
          <t>A 48231-2024</t>
        </is>
      </c>
      <c r="B3169" s="1" t="n">
        <v>45590.37590277778</v>
      </c>
      <c r="C3169" s="1" t="n">
        <v>45952</v>
      </c>
      <c r="D3169" t="inlineStr">
        <is>
          <t>ÖREBRO LÄN</t>
        </is>
      </c>
      <c r="E3169" t="inlineStr">
        <is>
          <t>LINDESBERG</t>
        </is>
      </c>
      <c r="G3169" t="n">
        <v>9.699999999999999</v>
      </c>
      <c r="H3169" t="n">
        <v>0</v>
      </c>
      <c r="I3169" t="n">
        <v>0</v>
      </c>
      <c r="J3169" t="n">
        <v>0</v>
      </c>
      <c r="K3169" t="n">
        <v>0</v>
      </c>
      <c r="L3169" t="n">
        <v>0</v>
      </c>
      <c r="M3169" t="n">
        <v>0</v>
      </c>
      <c r="N3169" t="n">
        <v>0</v>
      </c>
      <c r="O3169" t="n">
        <v>0</v>
      </c>
      <c r="P3169" t="n">
        <v>0</v>
      </c>
      <c r="Q3169" t="n">
        <v>0</v>
      </c>
      <c r="R3169" s="2" t="inlineStr"/>
    </row>
    <row r="3170" ht="15" customHeight="1">
      <c r="A3170" t="inlineStr">
        <is>
          <t>A 49946-2025</t>
        </is>
      </c>
      <c r="B3170" s="1" t="n">
        <v>45940.69862268519</v>
      </c>
      <c r="C3170" s="1" t="n">
        <v>45952</v>
      </c>
      <c r="D3170" t="inlineStr">
        <is>
          <t>ÖREBRO LÄN</t>
        </is>
      </c>
      <c r="E3170" t="inlineStr">
        <is>
          <t>LINDESBERG</t>
        </is>
      </c>
      <c r="F3170" t="inlineStr">
        <is>
          <t>Sveaskog</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24099-2025</t>
        </is>
      </c>
      <c r="B3171" s="1" t="n">
        <v>45796</v>
      </c>
      <c r="C3171" s="1" t="n">
        <v>45952</v>
      </c>
      <c r="D3171" t="inlineStr">
        <is>
          <t>ÖREBRO LÄN</t>
        </is>
      </c>
      <c r="E3171" t="inlineStr">
        <is>
          <t>KARLSKOGA</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46085-2024</t>
        </is>
      </c>
      <c r="B3172" s="1" t="n">
        <v>45581</v>
      </c>
      <c r="C3172" s="1" t="n">
        <v>45952</v>
      </c>
      <c r="D3172" t="inlineStr">
        <is>
          <t>ÖREBRO LÄN</t>
        </is>
      </c>
      <c r="E3172" t="inlineStr">
        <is>
          <t>LJUSNARSBERG</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12278-2025</t>
        </is>
      </c>
      <c r="B3173" s="1" t="n">
        <v>45729.65171296296</v>
      </c>
      <c r="C3173" s="1" t="n">
        <v>45952</v>
      </c>
      <c r="D3173" t="inlineStr">
        <is>
          <t>ÖREBRO LÄN</t>
        </is>
      </c>
      <c r="E3173" t="inlineStr">
        <is>
          <t>LINDESBERG</t>
        </is>
      </c>
      <c r="G3173" t="n">
        <v>3.2</v>
      </c>
      <c r="H3173" t="n">
        <v>0</v>
      </c>
      <c r="I3173" t="n">
        <v>0</v>
      </c>
      <c r="J3173" t="n">
        <v>0</v>
      </c>
      <c r="K3173" t="n">
        <v>0</v>
      </c>
      <c r="L3173" t="n">
        <v>0</v>
      </c>
      <c r="M3173" t="n">
        <v>0</v>
      </c>
      <c r="N3173" t="n">
        <v>0</v>
      </c>
      <c r="O3173" t="n">
        <v>0</v>
      </c>
      <c r="P3173" t="n">
        <v>0</v>
      </c>
      <c r="Q3173" t="n">
        <v>0</v>
      </c>
      <c r="R3173" s="2" t="inlineStr"/>
    </row>
    <row r="3174" ht="15" customHeight="1">
      <c r="A3174" t="inlineStr">
        <is>
          <t>A 41152-2025</t>
        </is>
      </c>
      <c r="B3174" s="1" t="n">
        <v>45898.5128587963</v>
      </c>
      <c r="C3174" s="1" t="n">
        <v>45952</v>
      </c>
      <c r="D3174" t="inlineStr">
        <is>
          <t>ÖREBRO LÄN</t>
        </is>
      </c>
      <c r="E3174" t="inlineStr">
        <is>
          <t>HÄLLEFORS</t>
        </is>
      </c>
      <c r="F3174" t="inlineStr">
        <is>
          <t>Bergvik skog väst AB</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15650-2023</t>
        </is>
      </c>
      <c r="B3175" s="1" t="n">
        <v>45021.38399305556</v>
      </c>
      <c r="C3175" s="1" t="n">
        <v>45952</v>
      </c>
      <c r="D3175" t="inlineStr">
        <is>
          <t>ÖREBRO LÄN</t>
        </is>
      </c>
      <c r="E3175" t="inlineStr">
        <is>
          <t>LAXÅ</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31120-2024</t>
        </is>
      </c>
      <c r="B3176" s="1" t="n">
        <v>45502.59939814815</v>
      </c>
      <c r="C3176" s="1" t="n">
        <v>45952</v>
      </c>
      <c r="D3176" t="inlineStr">
        <is>
          <t>ÖREBRO LÄN</t>
        </is>
      </c>
      <c r="E3176" t="inlineStr">
        <is>
          <t>ASKERSUND</t>
        </is>
      </c>
      <c r="G3176" t="n">
        <v>2.8</v>
      </c>
      <c r="H3176" t="n">
        <v>0</v>
      </c>
      <c r="I3176" t="n">
        <v>0</v>
      </c>
      <c r="J3176" t="n">
        <v>0</v>
      </c>
      <c r="K3176" t="n">
        <v>0</v>
      </c>
      <c r="L3176" t="n">
        <v>0</v>
      </c>
      <c r="M3176" t="n">
        <v>0</v>
      </c>
      <c r="N3176" t="n">
        <v>0</v>
      </c>
      <c r="O3176" t="n">
        <v>0</v>
      </c>
      <c r="P3176" t="n">
        <v>0</v>
      </c>
      <c r="Q3176" t="n">
        <v>0</v>
      </c>
      <c r="R3176" s="2" t="inlineStr"/>
    </row>
    <row r="3177" ht="15" customHeight="1">
      <c r="A3177" t="inlineStr">
        <is>
          <t>A 11003-2025</t>
        </is>
      </c>
      <c r="B3177" s="1" t="n">
        <v>45723.44292824074</v>
      </c>
      <c r="C3177" s="1" t="n">
        <v>45952</v>
      </c>
      <c r="D3177" t="inlineStr">
        <is>
          <t>ÖREBRO LÄN</t>
        </is>
      </c>
      <c r="E3177" t="inlineStr">
        <is>
          <t>HALLSBERG</t>
        </is>
      </c>
      <c r="G3177" t="n">
        <v>6.8</v>
      </c>
      <c r="H3177" t="n">
        <v>0</v>
      </c>
      <c r="I3177" t="n">
        <v>0</v>
      </c>
      <c r="J3177" t="n">
        <v>0</v>
      </c>
      <c r="K3177" t="n">
        <v>0</v>
      </c>
      <c r="L3177" t="n">
        <v>0</v>
      </c>
      <c r="M3177" t="n">
        <v>0</v>
      </c>
      <c r="N3177" t="n">
        <v>0</v>
      </c>
      <c r="O3177" t="n">
        <v>0</v>
      </c>
      <c r="P3177" t="n">
        <v>0</v>
      </c>
      <c r="Q3177" t="n">
        <v>0</v>
      </c>
      <c r="R3177" s="2" t="inlineStr"/>
    </row>
    <row r="3178" ht="15" customHeight="1">
      <c r="A3178" t="inlineStr">
        <is>
          <t>A 31290-2023</t>
        </is>
      </c>
      <c r="B3178" s="1" t="n">
        <v>45114</v>
      </c>
      <c r="C3178" s="1" t="n">
        <v>45952</v>
      </c>
      <c r="D3178" t="inlineStr">
        <is>
          <t>ÖREBRO LÄN</t>
        </is>
      </c>
      <c r="E3178" t="inlineStr">
        <is>
          <t>HALLSBERG</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11034-2025</t>
        </is>
      </c>
      <c r="B3179" s="1" t="n">
        <v>45723.47810185186</v>
      </c>
      <c r="C3179" s="1" t="n">
        <v>45952</v>
      </c>
      <c r="D3179" t="inlineStr">
        <is>
          <t>ÖREBRO LÄN</t>
        </is>
      </c>
      <c r="E3179" t="inlineStr">
        <is>
          <t>HALLSBERG</t>
        </is>
      </c>
      <c r="G3179" t="n">
        <v>4.8</v>
      </c>
      <c r="H3179" t="n">
        <v>0</v>
      </c>
      <c r="I3179" t="n">
        <v>0</v>
      </c>
      <c r="J3179" t="n">
        <v>0</v>
      </c>
      <c r="K3179" t="n">
        <v>0</v>
      </c>
      <c r="L3179" t="n">
        <v>0</v>
      </c>
      <c r="M3179" t="n">
        <v>0</v>
      </c>
      <c r="N3179" t="n">
        <v>0</v>
      </c>
      <c r="O3179" t="n">
        <v>0</v>
      </c>
      <c r="P3179" t="n">
        <v>0</v>
      </c>
      <c r="Q3179" t="n">
        <v>0</v>
      </c>
      <c r="R3179" s="2" t="inlineStr"/>
    </row>
    <row r="3180" ht="15" customHeight="1">
      <c r="A3180" t="inlineStr">
        <is>
          <t>A 46220-2024</t>
        </is>
      </c>
      <c r="B3180" s="1" t="n">
        <v>45581.56866898148</v>
      </c>
      <c r="C3180" s="1" t="n">
        <v>45952</v>
      </c>
      <c r="D3180" t="inlineStr">
        <is>
          <t>ÖREBRO LÄN</t>
        </is>
      </c>
      <c r="E3180" t="inlineStr">
        <is>
          <t>DEGERFORS</t>
        </is>
      </c>
      <c r="F3180" t="inlineStr">
        <is>
          <t>Sveaskog</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27218-2024</t>
        </is>
      </c>
      <c r="B3181" s="1" t="n">
        <v>45471.6228587963</v>
      </c>
      <c r="C3181" s="1" t="n">
        <v>45952</v>
      </c>
      <c r="D3181" t="inlineStr">
        <is>
          <t>ÖREBRO LÄN</t>
        </is>
      </c>
      <c r="E3181" t="inlineStr">
        <is>
          <t>ASKERSUND</t>
        </is>
      </c>
      <c r="F3181" t="inlineStr">
        <is>
          <t>Sveaskog</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46222-2024</t>
        </is>
      </c>
      <c r="B3182" s="1" t="n">
        <v>45581.56938657408</v>
      </c>
      <c r="C3182" s="1" t="n">
        <v>45952</v>
      </c>
      <c r="D3182" t="inlineStr">
        <is>
          <t>ÖREBRO LÄN</t>
        </is>
      </c>
      <c r="E3182" t="inlineStr">
        <is>
          <t>DEGERFORS</t>
        </is>
      </c>
      <c r="F3182" t="inlineStr">
        <is>
          <t>Sveaskog</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34237-2023</t>
        </is>
      </c>
      <c r="B3183" s="1" t="n">
        <v>45138</v>
      </c>
      <c r="C3183" s="1" t="n">
        <v>45952</v>
      </c>
      <c r="D3183" t="inlineStr">
        <is>
          <t>ÖREBRO LÄN</t>
        </is>
      </c>
      <c r="E3183" t="inlineStr">
        <is>
          <t>LINDESBERG</t>
        </is>
      </c>
      <c r="F3183" t="inlineStr">
        <is>
          <t>Sveaskog</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30591-2024</t>
        </is>
      </c>
      <c r="B3184" s="1" t="n">
        <v>45493.3153125</v>
      </c>
      <c r="C3184" s="1" t="n">
        <v>45952</v>
      </c>
      <c r="D3184" t="inlineStr">
        <is>
          <t>ÖREBRO LÄN</t>
        </is>
      </c>
      <c r="E3184" t="inlineStr">
        <is>
          <t>HÄLLEFORS</t>
        </is>
      </c>
      <c r="G3184" t="n">
        <v>12.5</v>
      </c>
      <c r="H3184" t="n">
        <v>0</v>
      </c>
      <c r="I3184" t="n">
        <v>0</v>
      </c>
      <c r="J3184" t="n">
        <v>0</v>
      </c>
      <c r="K3184" t="n">
        <v>0</v>
      </c>
      <c r="L3184" t="n">
        <v>0</v>
      </c>
      <c r="M3184" t="n">
        <v>0</v>
      </c>
      <c r="N3184" t="n">
        <v>0</v>
      </c>
      <c r="O3184" t="n">
        <v>0</v>
      </c>
      <c r="P3184" t="n">
        <v>0</v>
      </c>
      <c r="Q3184" t="n">
        <v>0</v>
      </c>
      <c r="R3184" s="2" t="inlineStr"/>
    </row>
    <row r="3185" ht="15" customHeight="1">
      <c r="A3185" t="inlineStr">
        <is>
          <t>A 54994-2024</t>
        </is>
      </c>
      <c r="B3185" s="1" t="n">
        <v>45621.27174768518</v>
      </c>
      <c r="C3185" s="1" t="n">
        <v>45952</v>
      </c>
      <c r="D3185" t="inlineStr">
        <is>
          <t>ÖREBRO LÄN</t>
        </is>
      </c>
      <c r="E3185" t="inlineStr">
        <is>
          <t>DEGERFORS</t>
        </is>
      </c>
      <c r="F3185" t="inlineStr">
        <is>
          <t>Sveaskog</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49943-2025</t>
        </is>
      </c>
      <c r="B3186" s="1" t="n">
        <v>45940.69521990741</v>
      </c>
      <c r="C3186" s="1" t="n">
        <v>45952</v>
      </c>
      <c r="D3186" t="inlineStr">
        <is>
          <t>ÖREBRO LÄN</t>
        </is>
      </c>
      <c r="E3186" t="inlineStr">
        <is>
          <t>LINDESBERG</t>
        </is>
      </c>
      <c r="F3186" t="inlineStr">
        <is>
          <t>Sveaskog</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9645-2024</t>
        </is>
      </c>
      <c r="B3187" s="1" t="n">
        <v>45362</v>
      </c>
      <c r="C3187" s="1" t="n">
        <v>45952</v>
      </c>
      <c r="D3187" t="inlineStr">
        <is>
          <t>ÖREBRO LÄN</t>
        </is>
      </c>
      <c r="E3187" t="inlineStr">
        <is>
          <t>HALLSBERG</t>
        </is>
      </c>
      <c r="F3187" t="inlineStr">
        <is>
          <t>Sveaskog</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13803-2024</t>
        </is>
      </c>
      <c r="B3188" s="1" t="n">
        <v>45390</v>
      </c>
      <c r="C3188" s="1" t="n">
        <v>45952</v>
      </c>
      <c r="D3188" t="inlineStr">
        <is>
          <t>ÖREBRO LÄN</t>
        </is>
      </c>
      <c r="E3188" t="inlineStr">
        <is>
          <t>LJUSNARSBERG</t>
        </is>
      </c>
      <c r="F3188" t="inlineStr">
        <is>
          <t>Bergvik skog väst AB</t>
        </is>
      </c>
      <c r="G3188" t="n">
        <v>17.8</v>
      </c>
      <c r="H3188" t="n">
        <v>0</v>
      </c>
      <c r="I3188" t="n">
        <v>0</v>
      </c>
      <c r="J3188" t="n">
        <v>0</v>
      </c>
      <c r="K3188" t="n">
        <v>0</v>
      </c>
      <c r="L3188" t="n">
        <v>0</v>
      </c>
      <c r="M3188" t="n">
        <v>0</v>
      </c>
      <c r="N3188" t="n">
        <v>0</v>
      </c>
      <c r="O3188" t="n">
        <v>0</v>
      </c>
      <c r="P3188" t="n">
        <v>0</v>
      </c>
      <c r="Q3188" t="n">
        <v>0</v>
      </c>
      <c r="R3188" s="2" t="inlineStr"/>
    </row>
    <row r="3189" ht="15" customHeight="1">
      <c r="A3189" t="inlineStr">
        <is>
          <t>A 17276-2023</t>
        </is>
      </c>
      <c r="B3189" s="1" t="n">
        <v>45035</v>
      </c>
      <c r="C3189" s="1" t="n">
        <v>45952</v>
      </c>
      <c r="D3189" t="inlineStr">
        <is>
          <t>ÖREBRO LÄN</t>
        </is>
      </c>
      <c r="E3189" t="inlineStr">
        <is>
          <t>LJUSNARSBERG</t>
        </is>
      </c>
      <c r="G3189" t="n">
        <v>2.8</v>
      </c>
      <c r="H3189" t="n">
        <v>0</v>
      </c>
      <c r="I3189" t="n">
        <v>0</v>
      </c>
      <c r="J3189" t="n">
        <v>0</v>
      </c>
      <c r="K3189" t="n">
        <v>0</v>
      </c>
      <c r="L3189" t="n">
        <v>0</v>
      </c>
      <c r="M3189" t="n">
        <v>0</v>
      </c>
      <c r="N3189" t="n">
        <v>0</v>
      </c>
      <c r="O3189" t="n">
        <v>0</v>
      </c>
      <c r="P3189" t="n">
        <v>0</v>
      </c>
      <c r="Q3189" t="n">
        <v>0</v>
      </c>
      <c r="R3189" s="2" t="inlineStr"/>
    </row>
    <row r="3190" ht="15" customHeight="1">
      <c r="A3190" t="inlineStr">
        <is>
          <t>A 25473-2025</t>
        </is>
      </c>
      <c r="B3190" s="1" t="n">
        <v>45802.75168981482</v>
      </c>
      <c r="C3190" s="1" t="n">
        <v>45952</v>
      </c>
      <c r="D3190" t="inlineStr">
        <is>
          <t>ÖREBRO LÄN</t>
        </is>
      </c>
      <c r="E3190" t="inlineStr">
        <is>
          <t>HALLSBERG</t>
        </is>
      </c>
      <c r="F3190" t="inlineStr">
        <is>
          <t>Sveaskog</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60518-2021</t>
        </is>
      </c>
      <c r="B3191" s="1" t="n">
        <v>44496.5028125</v>
      </c>
      <c r="C3191" s="1" t="n">
        <v>45952</v>
      </c>
      <c r="D3191" t="inlineStr">
        <is>
          <t>ÖREBRO LÄN</t>
        </is>
      </c>
      <c r="E3191" t="inlineStr">
        <is>
          <t>HÄLLEFORS</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25578-2025</t>
        </is>
      </c>
      <c r="B3192" s="1" t="n">
        <v>45803.47803240741</v>
      </c>
      <c r="C3192" s="1" t="n">
        <v>45952</v>
      </c>
      <c r="D3192" t="inlineStr">
        <is>
          <t>ÖREBRO LÄN</t>
        </is>
      </c>
      <c r="E3192" t="inlineStr">
        <is>
          <t>ÖREBRO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41340-2025</t>
        </is>
      </c>
      <c r="B3193" s="1" t="n">
        <v>45899.38057870371</v>
      </c>
      <c r="C3193" s="1" t="n">
        <v>45952</v>
      </c>
      <c r="D3193" t="inlineStr">
        <is>
          <t>ÖREBRO LÄN</t>
        </is>
      </c>
      <c r="E3193" t="inlineStr">
        <is>
          <t>LINDESBERG</t>
        </is>
      </c>
      <c r="G3193" t="n">
        <v>16.5</v>
      </c>
      <c r="H3193" t="n">
        <v>0</v>
      </c>
      <c r="I3193" t="n">
        <v>0</v>
      </c>
      <c r="J3193" t="n">
        <v>0</v>
      </c>
      <c r="K3193" t="n">
        <v>0</v>
      </c>
      <c r="L3193" t="n">
        <v>0</v>
      </c>
      <c r="M3193" t="n">
        <v>0</v>
      </c>
      <c r="N3193" t="n">
        <v>0</v>
      </c>
      <c r="O3193" t="n">
        <v>0</v>
      </c>
      <c r="P3193" t="n">
        <v>0</v>
      </c>
      <c r="Q3193" t="n">
        <v>0</v>
      </c>
      <c r="R3193" s="2" t="inlineStr"/>
    </row>
    <row r="3194" ht="15" customHeight="1">
      <c r="A3194" t="inlineStr">
        <is>
          <t>A 41588-2025</t>
        </is>
      </c>
      <c r="B3194" s="1" t="n">
        <v>45901.63114583334</v>
      </c>
      <c r="C3194" s="1" t="n">
        <v>45952</v>
      </c>
      <c r="D3194" t="inlineStr">
        <is>
          <t>ÖREBRO LÄN</t>
        </is>
      </c>
      <c r="E3194" t="inlineStr">
        <is>
          <t>NORA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25643-2025</t>
        </is>
      </c>
      <c r="B3195" s="1" t="n">
        <v>45803</v>
      </c>
      <c r="C3195" s="1" t="n">
        <v>45952</v>
      </c>
      <c r="D3195" t="inlineStr">
        <is>
          <t>ÖREBRO LÄN</t>
        </is>
      </c>
      <c r="E3195" t="inlineStr">
        <is>
          <t>LINDESBERG</t>
        </is>
      </c>
      <c r="F3195" t="inlineStr">
        <is>
          <t>Sveaskog</t>
        </is>
      </c>
      <c r="G3195" t="n">
        <v>3.6</v>
      </c>
      <c r="H3195" t="n">
        <v>0</v>
      </c>
      <c r="I3195" t="n">
        <v>0</v>
      </c>
      <c r="J3195" t="n">
        <v>0</v>
      </c>
      <c r="K3195" t="n">
        <v>0</v>
      </c>
      <c r="L3195" t="n">
        <v>0</v>
      </c>
      <c r="M3195" t="n">
        <v>0</v>
      </c>
      <c r="N3195" t="n">
        <v>0</v>
      </c>
      <c r="O3195" t="n">
        <v>0</v>
      </c>
      <c r="P3195" t="n">
        <v>0</v>
      </c>
      <c r="Q3195" t="n">
        <v>0</v>
      </c>
      <c r="R3195" s="2" t="inlineStr"/>
    </row>
    <row r="3196" ht="15" customHeight="1">
      <c r="A3196" t="inlineStr">
        <is>
          <t>A 5562-2025</t>
        </is>
      </c>
      <c r="B3196" s="1" t="n">
        <v>45693</v>
      </c>
      <c r="C3196" s="1" t="n">
        <v>45952</v>
      </c>
      <c r="D3196" t="inlineStr">
        <is>
          <t>ÖREBRO LÄN</t>
        </is>
      </c>
      <c r="E3196" t="inlineStr">
        <is>
          <t>NORA</t>
        </is>
      </c>
      <c r="G3196" t="n">
        <v>5.4</v>
      </c>
      <c r="H3196" t="n">
        <v>0</v>
      </c>
      <c r="I3196" t="n">
        <v>0</v>
      </c>
      <c r="J3196" t="n">
        <v>0</v>
      </c>
      <c r="K3196" t="n">
        <v>0</v>
      </c>
      <c r="L3196" t="n">
        <v>0</v>
      </c>
      <c r="M3196" t="n">
        <v>0</v>
      </c>
      <c r="N3196" t="n">
        <v>0</v>
      </c>
      <c r="O3196" t="n">
        <v>0</v>
      </c>
      <c r="P3196" t="n">
        <v>0</v>
      </c>
      <c r="Q3196" t="n">
        <v>0</v>
      </c>
      <c r="R3196" s="2" t="inlineStr"/>
    </row>
    <row r="3197" ht="15" customHeight="1">
      <c r="A3197" t="inlineStr">
        <is>
          <t>A 5590-2025</t>
        </is>
      </c>
      <c r="B3197" s="1" t="n">
        <v>45693</v>
      </c>
      <c r="C3197" s="1" t="n">
        <v>45952</v>
      </c>
      <c r="D3197" t="inlineStr">
        <is>
          <t>ÖREBRO LÄN</t>
        </is>
      </c>
      <c r="E3197" t="inlineStr">
        <is>
          <t>NORA</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58216-2024</t>
        </is>
      </c>
      <c r="B3198" s="1" t="n">
        <v>45632</v>
      </c>
      <c r="C3198" s="1" t="n">
        <v>45952</v>
      </c>
      <c r="D3198" t="inlineStr">
        <is>
          <t>ÖREBRO LÄN</t>
        </is>
      </c>
      <c r="E3198" t="inlineStr">
        <is>
          <t>ÖREBRO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25470-2025</t>
        </is>
      </c>
      <c r="B3199" s="1" t="n">
        <v>45802.7302199074</v>
      </c>
      <c r="C3199" s="1" t="n">
        <v>45952</v>
      </c>
      <c r="D3199" t="inlineStr">
        <is>
          <t>ÖREBRO LÄN</t>
        </is>
      </c>
      <c r="E3199" t="inlineStr">
        <is>
          <t>HALLSBERG</t>
        </is>
      </c>
      <c r="F3199" t="inlineStr">
        <is>
          <t>Sveaskog</t>
        </is>
      </c>
      <c r="G3199" t="n">
        <v>3</v>
      </c>
      <c r="H3199" t="n">
        <v>0</v>
      </c>
      <c r="I3199" t="n">
        <v>0</v>
      </c>
      <c r="J3199" t="n">
        <v>0</v>
      </c>
      <c r="K3199" t="n">
        <v>0</v>
      </c>
      <c r="L3199" t="n">
        <v>0</v>
      </c>
      <c r="M3199" t="n">
        <v>0</v>
      </c>
      <c r="N3199" t="n">
        <v>0</v>
      </c>
      <c r="O3199" t="n">
        <v>0</v>
      </c>
      <c r="P3199" t="n">
        <v>0</v>
      </c>
      <c r="Q3199" t="n">
        <v>0</v>
      </c>
      <c r="R3199" s="2" t="inlineStr"/>
    </row>
    <row r="3200" ht="15" customHeight="1">
      <c r="A3200" t="inlineStr">
        <is>
          <t>A 25472-2025</t>
        </is>
      </c>
      <c r="B3200" s="1" t="n">
        <v>45802.74466435185</v>
      </c>
      <c r="C3200" s="1" t="n">
        <v>45952</v>
      </c>
      <c r="D3200" t="inlineStr">
        <is>
          <t>ÖREBRO LÄN</t>
        </is>
      </c>
      <c r="E3200" t="inlineStr">
        <is>
          <t>HALLSBERG</t>
        </is>
      </c>
      <c r="F3200" t="inlineStr">
        <is>
          <t>Sveaskog</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21886-2023</t>
        </is>
      </c>
      <c r="B3201" s="1" t="n">
        <v>45068</v>
      </c>
      <c r="C3201" s="1" t="n">
        <v>45952</v>
      </c>
      <c r="D3201" t="inlineStr">
        <is>
          <t>ÖREBRO LÄN</t>
        </is>
      </c>
      <c r="E3201" t="inlineStr">
        <is>
          <t>LEKEBERG</t>
        </is>
      </c>
      <c r="G3201" t="n">
        <v>2.1</v>
      </c>
      <c r="H3201" t="n">
        <v>0</v>
      </c>
      <c r="I3201" t="n">
        <v>0</v>
      </c>
      <c r="J3201" t="n">
        <v>0</v>
      </c>
      <c r="K3201" t="n">
        <v>0</v>
      </c>
      <c r="L3201" t="n">
        <v>0</v>
      </c>
      <c r="M3201" t="n">
        <v>0</v>
      </c>
      <c r="N3201" t="n">
        <v>0</v>
      </c>
      <c r="O3201" t="n">
        <v>0</v>
      </c>
      <c r="P3201" t="n">
        <v>0</v>
      </c>
      <c r="Q3201" t="n">
        <v>0</v>
      </c>
      <c r="R3201" s="2" t="inlineStr"/>
    </row>
    <row r="3202" ht="15" customHeight="1">
      <c r="A3202" t="inlineStr">
        <is>
          <t>A 21886-2023</t>
        </is>
      </c>
      <c r="B3202" s="1" t="n">
        <v>45068</v>
      </c>
      <c r="C3202" s="1" t="n">
        <v>45952</v>
      </c>
      <c r="D3202" t="inlineStr">
        <is>
          <t>ÖREBRO LÄN</t>
        </is>
      </c>
      <c r="E3202" t="inlineStr">
        <is>
          <t>LEKEBERG</t>
        </is>
      </c>
      <c r="G3202" t="n">
        <v>0.3</v>
      </c>
      <c r="H3202" t="n">
        <v>0</v>
      </c>
      <c r="I3202" t="n">
        <v>0</v>
      </c>
      <c r="J3202" t="n">
        <v>0</v>
      </c>
      <c r="K3202" t="n">
        <v>0</v>
      </c>
      <c r="L3202" t="n">
        <v>0</v>
      </c>
      <c r="M3202" t="n">
        <v>0</v>
      </c>
      <c r="N3202" t="n">
        <v>0</v>
      </c>
      <c r="O3202" t="n">
        <v>0</v>
      </c>
      <c r="P3202" t="n">
        <v>0</v>
      </c>
      <c r="Q3202" t="n">
        <v>0</v>
      </c>
      <c r="R3202" s="2" t="inlineStr"/>
    </row>
    <row r="3203" ht="15" customHeight="1">
      <c r="A3203" t="inlineStr">
        <is>
          <t>A 21901-2023</t>
        </is>
      </c>
      <c r="B3203" s="1" t="n">
        <v>45068.53265046296</v>
      </c>
      <c r="C3203" s="1" t="n">
        <v>45952</v>
      </c>
      <c r="D3203" t="inlineStr">
        <is>
          <t>ÖREBRO LÄN</t>
        </is>
      </c>
      <c r="E3203" t="inlineStr">
        <is>
          <t>HÄLLEFORS</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41027-2025</t>
        </is>
      </c>
      <c r="B3204" s="1" t="n">
        <v>45898.37138888889</v>
      </c>
      <c r="C3204" s="1" t="n">
        <v>45952</v>
      </c>
      <c r="D3204" t="inlineStr">
        <is>
          <t>ÖREBRO LÄN</t>
        </is>
      </c>
      <c r="E3204" t="inlineStr">
        <is>
          <t>LINDESBERG</t>
        </is>
      </c>
      <c r="G3204" t="n">
        <v>4.7</v>
      </c>
      <c r="H3204" t="n">
        <v>0</v>
      </c>
      <c r="I3204" t="n">
        <v>0</v>
      </c>
      <c r="J3204" t="n">
        <v>0</v>
      </c>
      <c r="K3204" t="n">
        <v>0</v>
      </c>
      <c r="L3204" t="n">
        <v>0</v>
      </c>
      <c r="M3204" t="n">
        <v>0</v>
      </c>
      <c r="N3204" t="n">
        <v>0</v>
      </c>
      <c r="O3204" t="n">
        <v>0</v>
      </c>
      <c r="P3204" t="n">
        <v>0</v>
      </c>
      <c r="Q3204" t="n">
        <v>0</v>
      </c>
      <c r="R3204" s="2" t="inlineStr"/>
    </row>
    <row r="3205" ht="15" customHeight="1">
      <c r="A3205" t="inlineStr">
        <is>
          <t>A 46134-2021</t>
        </is>
      </c>
      <c r="B3205" s="1" t="n">
        <v>44441</v>
      </c>
      <c r="C3205" s="1" t="n">
        <v>45952</v>
      </c>
      <c r="D3205" t="inlineStr">
        <is>
          <t>ÖREBRO LÄN</t>
        </is>
      </c>
      <c r="E3205" t="inlineStr">
        <is>
          <t>LAXÅ</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16476-2025</t>
        </is>
      </c>
      <c r="B3206" s="1" t="n">
        <v>45751.57092592592</v>
      </c>
      <c r="C3206" s="1" t="n">
        <v>45952</v>
      </c>
      <c r="D3206" t="inlineStr">
        <is>
          <t>ÖREBRO LÄN</t>
        </is>
      </c>
      <c r="E3206" t="inlineStr">
        <is>
          <t>KARLSKOGA</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3763-2025</t>
        </is>
      </c>
      <c r="B3207" s="1" t="n">
        <v>45681</v>
      </c>
      <c r="C3207" s="1" t="n">
        <v>45952</v>
      </c>
      <c r="D3207" t="inlineStr">
        <is>
          <t>ÖREBRO LÄN</t>
        </is>
      </c>
      <c r="E3207" t="inlineStr">
        <is>
          <t>ÖREBRO</t>
        </is>
      </c>
      <c r="G3207" t="n">
        <v>10.1</v>
      </c>
      <c r="H3207" t="n">
        <v>0</v>
      </c>
      <c r="I3207" t="n">
        <v>0</v>
      </c>
      <c r="J3207" t="n">
        <v>0</v>
      </c>
      <c r="K3207" t="n">
        <v>0</v>
      </c>
      <c r="L3207" t="n">
        <v>0</v>
      </c>
      <c r="M3207" t="n">
        <v>0</v>
      </c>
      <c r="N3207" t="n">
        <v>0</v>
      </c>
      <c r="O3207" t="n">
        <v>0</v>
      </c>
      <c r="P3207" t="n">
        <v>0</v>
      </c>
      <c r="Q3207" t="n">
        <v>0</v>
      </c>
      <c r="R3207" s="2" t="inlineStr"/>
    </row>
    <row r="3208" ht="15" customHeight="1">
      <c r="A3208" t="inlineStr">
        <is>
          <t>A 29942-2024</t>
        </is>
      </c>
      <c r="B3208" s="1" t="n">
        <v>45488.42258101852</v>
      </c>
      <c r="C3208" s="1" t="n">
        <v>45952</v>
      </c>
      <c r="D3208" t="inlineStr">
        <is>
          <t>ÖREBRO LÄN</t>
        </is>
      </c>
      <c r="E3208" t="inlineStr">
        <is>
          <t>LINDESBERG</t>
        </is>
      </c>
      <c r="G3208" t="n">
        <v>2.4</v>
      </c>
      <c r="H3208" t="n">
        <v>0</v>
      </c>
      <c r="I3208" t="n">
        <v>0</v>
      </c>
      <c r="J3208" t="n">
        <v>0</v>
      </c>
      <c r="K3208" t="n">
        <v>0</v>
      </c>
      <c r="L3208" t="n">
        <v>0</v>
      </c>
      <c r="M3208" t="n">
        <v>0</v>
      </c>
      <c r="N3208" t="n">
        <v>0</v>
      </c>
      <c r="O3208" t="n">
        <v>0</v>
      </c>
      <c r="P3208" t="n">
        <v>0</v>
      </c>
      <c r="Q3208" t="n">
        <v>0</v>
      </c>
      <c r="R3208" s="2" t="inlineStr"/>
    </row>
    <row r="3209" ht="15" customHeight="1">
      <c r="A3209" t="inlineStr">
        <is>
          <t>A 49947-2025</t>
        </is>
      </c>
      <c r="B3209" s="1" t="n">
        <v>45940.70018518518</v>
      </c>
      <c r="C3209" s="1" t="n">
        <v>45952</v>
      </c>
      <c r="D3209" t="inlineStr">
        <is>
          <t>ÖREBRO LÄN</t>
        </is>
      </c>
      <c r="E3209" t="inlineStr">
        <is>
          <t>LINDESBERG</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49924-2025</t>
        </is>
      </c>
      <c r="B3210" s="1" t="n">
        <v>45940.64311342593</v>
      </c>
      <c r="C3210" s="1" t="n">
        <v>45952</v>
      </c>
      <c r="D3210" t="inlineStr">
        <is>
          <t>ÖREBRO LÄN</t>
        </is>
      </c>
      <c r="E3210" t="inlineStr">
        <is>
          <t>ASKERSUND</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25388-2025</t>
        </is>
      </c>
      <c r="B3211" s="1" t="n">
        <v>45800.64457175926</v>
      </c>
      <c r="C3211" s="1" t="n">
        <v>45952</v>
      </c>
      <c r="D3211" t="inlineStr">
        <is>
          <t>ÖREBRO LÄN</t>
        </is>
      </c>
      <c r="E3211" t="inlineStr">
        <is>
          <t>LAXÅ</t>
        </is>
      </c>
      <c r="F3211" t="inlineStr">
        <is>
          <t>Sveaskog</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25519-2025</t>
        </is>
      </c>
      <c r="B3212" s="1" t="n">
        <v>45803.38447916666</v>
      </c>
      <c r="C3212" s="1" t="n">
        <v>45952</v>
      </c>
      <c r="D3212" t="inlineStr">
        <is>
          <t>ÖREBRO LÄN</t>
        </is>
      </c>
      <c r="E3212" t="inlineStr">
        <is>
          <t>ÖREBRO</t>
        </is>
      </c>
      <c r="G3212" t="n">
        <v>7.4</v>
      </c>
      <c r="H3212" t="n">
        <v>0</v>
      </c>
      <c r="I3212" t="n">
        <v>0</v>
      </c>
      <c r="J3212" t="n">
        <v>0</v>
      </c>
      <c r="K3212" t="n">
        <v>0</v>
      </c>
      <c r="L3212" t="n">
        <v>0</v>
      </c>
      <c r="M3212" t="n">
        <v>0</v>
      </c>
      <c r="N3212" t="n">
        <v>0</v>
      </c>
      <c r="O3212" t="n">
        <v>0</v>
      </c>
      <c r="P3212" t="n">
        <v>0</v>
      </c>
      <c r="Q3212" t="n">
        <v>0</v>
      </c>
      <c r="R3212" s="2" t="inlineStr"/>
    </row>
    <row r="3213" ht="15" customHeight="1">
      <c r="A3213" t="inlineStr">
        <is>
          <t>A 25172-2025</t>
        </is>
      </c>
      <c r="B3213" s="1" t="n">
        <v>45800.445</v>
      </c>
      <c r="C3213" s="1" t="n">
        <v>45952</v>
      </c>
      <c r="D3213" t="inlineStr">
        <is>
          <t>ÖREBRO LÄN</t>
        </is>
      </c>
      <c r="E3213" t="inlineStr">
        <is>
          <t>LAXÅ</t>
        </is>
      </c>
      <c r="F3213" t="inlineStr">
        <is>
          <t>Sveaskog</t>
        </is>
      </c>
      <c r="G3213" t="n">
        <v>7.3</v>
      </c>
      <c r="H3213" t="n">
        <v>0</v>
      </c>
      <c r="I3213" t="n">
        <v>0</v>
      </c>
      <c r="J3213" t="n">
        <v>0</v>
      </c>
      <c r="K3213" t="n">
        <v>0</v>
      </c>
      <c r="L3213" t="n">
        <v>0</v>
      </c>
      <c r="M3213" t="n">
        <v>0</v>
      </c>
      <c r="N3213" t="n">
        <v>0</v>
      </c>
      <c r="O3213" t="n">
        <v>0</v>
      </c>
      <c r="P3213" t="n">
        <v>0</v>
      </c>
      <c r="Q3213" t="n">
        <v>0</v>
      </c>
      <c r="R3213" s="2" t="inlineStr"/>
    </row>
    <row r="3214" ht="15" customHeight="1">
      <c r="A3214" t="inlineStr">
        <is>
          <t>A 50086-2025</t>
        </is>
      </c>
      <c r="B3214" s="1" t="n">
        <v>45943.47649305555</v>
      </c>
      <c r="C3214" s="1" t="n">
        <v>45952</v>
      </c>
      <c r="D3214" t="inlineStr">
        <is>
          <t>ÖREBRO LÄN</t>
        </is>
      </c>
      <c r="E3214" t="inlineStr">
        <is>
          <t>LINDESBERG</t>
        </is>
      </c>
      <c r="F3214" t="inlineStr">
        <is>
          <t>Sveaskog</t>
        </is>
      </c>
      <c r="G3214" t="n">
        <v>3.6</v>
      </c>
      <c r="H3214" t="n">
        <v>0</v>
      </c>
      <c r="I3214" t="n">
        <v>0</v>
      </c>
      <c r="J3214" t="n">
        <v>0</v>
      </c>
      <c r="K3214" t="n">
        <v>0</v>
      </c>
      <c r="L3214" t="n">
        <v>0</v>
      </c>
      <c r="M3214" t="n">
        <v>0</v>
      </c>
      <c r="N3214" t="n">
        <v>0</v>
      </c>
      <c r="O3214" t="n">
        <v>0</v>
      </c>
      <c r="P3214" t="n">
        <v>0</v>
      </c>
      <c r="Q3214" t="n">
        <v>0</v>
      </c>
      <c r="R3214" s="2" t="inlineStr"/>
    </row>
    <row r="3215" ht="15" customHeight="1">
      <c r="A3215" t="inlineStr">
        <is>
          <t>A 53619-2024</t>
        </is>
      </c>
      <c r="B3215" s="1" t="n">
        <v>45614.73967592593</v>
      </c>
      <c r="C3215" s="1" t="n">
        <v>45952</v>
      </c>
      <c r="D3215" t="inlineStr">
        <is>
          <t>ÖREBRO LÄN</t>
        </is>
      </c>
      <c r="E3215" t="inlineStr">
        <is>
          <t>KARLSKOGA</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41369-2025</t>
        </is>
      </c>
      <c r="B3216" s="1" t="n">
        <v>45900.56857638889</v>
      </c>
      <c r="C3216" s="1" t="n">
        <v>45952</v>
      </c>
      <c r="D3216" t="inlineStr">
        <is>
          <t>ÖREBRO LÄN</t>
        </is>
      </c>
      <c r="E3216" t="inlineStr">
        <is>
          <t>DEGERFORS</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55208-2023</t>
        </is>
      </c>
      <c r="B3217" s="1" t="n">
        <v>45237.59355324074</v>
      </c>
      <c r="C3217" s="1" t="n">
        <v>45952</v>
      </c>
      <c r="D3217" t="inlineStr">
        <is>
          <t>ÖREBRO LÄN</t>
        </is>
      </c>
      <c r="E3217" t="inlineStr">
        <is>
          <t>KUMLA</t>
        </is>
      </c>
      <c r="G3217" t="n">
        <v>3.5</v>
      </c>
      <c r="H3217" t="n">
        <v>0</v>
      </c>
      <c r="I3217" t="n">
        <v>0</v>
      </c>
      <c r="J3217" t="n">
        <v>0</v>
      </c>
      <c r="K3217" t="n">
        <v>0</v>
      </c>
      <c r="L3217" t="n">
        <v>0</v>
      </c>
      <c r="M3217" t="n">
        <v>0</v>
      </c>
      <c r="N3217" t="n">
        <v>0</v>
      </c>
      <c r="O3217" t="n">
        <v>0</v>
      </c>
      <c r="P3217" t="n">
        <v>0</v>
      </c>
      <c r="Q3217" t="n">
        <v>0</v>
      </c>
      <c r="R3217" s="2" t="inlineStr"/>
    </row>
    <row r="3218" ht="15" customHeight="1">
      <c r="A3218" t="inlineStr">
        <is>
          <t>A 18768-2025</t>
        </is>
      </c>
      <c r="B3218" s="1" t="n">
        <v>45764.29767361111</v>
      </c>
      <c r="C3218" s="1" t="n">
        <v>45952</v>
      </c>
      <c r="D3218" t="inlineStr">
        <is>
          <t>ÖREBRO LÄN</t>
        </is>
      </c>
      <c r="E3218" t="inlineStr">
        <is>
          <t>KARLSKOGA</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5674-2023</t>
        </is>
      </c>
      <c r="B3219" s="1" t="n">
        <v>44960.66104166667</v>
      </c>
      <c r="C3219" s="1" t="n">
        <v>45952</v>
      </c>
      <c r="D3219" t="inlineStr">
        <is>
          <t>ÖREBRO LÄN</t>
        </is>
      </c>
      <c r="E3219" t="inlineStr">
        <is>
          <t>NORA</t>
        </is>
      </c>
      <c r="F3219" t="inlineStr">
        <is>
          <t>Kyrkan</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49671-2025</t>
        </is>
      </c>
      <c r="B3220" s="1" t="n">
        <v>45939</v>
      </c>
      <c r="C3220" s="1" t="n">
        <v>45952</v>
      </c>
      <c r="D3220" t="inlineStr">
        <is>
          <t>ÖREBRO LÄN</t>
        </is>
      </c>
      <c r="E3220" t="inlineStr">
        <is>
          <t>NORA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49676-2025</t>
        </is>
      </c>
      <c r="B3221" s="1" t="n">
        <v>45939</v>
      </c>
      <c r="C3221" s="1" t="n">
        <v>45952</v>
      </c>
      <c r="D3221" t="inlineStr">
        <is>
          <t>ÖREBRO LÄN</t>
        </is>
      </c>
      <c r="E3221" t="inlineStr">
        <is>
          <t>NORA</t>
        </is>
      </c>
      <c r="G3221" t="n">
        <v>3.2</v>
      </c>
      <c r="H3221" t="n">
        <v>0</v>
      </c>
      <c r="I3221" t="n">
        <v>0</v>
      </c>
      <c r="J3221" t="n">
        <v>0</v>
      </c>
      <c r="K3221" t="n">
        <v>0</v>
      </c>
      <c r="L3221" t="n">
        <v>0</v>
      </c>
      <c r="M3221" t="n">
        <v>0</v>
      </c>
      <c r="N3221" t="n">
        <v>0</v>
      </c>
      <c r="O3221" t="n">
        <v>0</v>
      </c>
      <c r="P3221" t="n">
        <v>0</v>
      </c>
      <c r="Q3221" t="n">
        <v>0</v>
      </c>
      <c r="R3221" s="2" t="inlineStr"/>
    </row>
    <row r="3222" ht="15" customHeight="1">
      <c r="A3222" t="inlineStr">
        <is>
          <t>A 25471-2025</t>
        </is>
      </c>
      <c r="B3222" s="1" t="n">
        <v>45802.73936342593</v>
      </c>
      <c r="C3222" s="1" t="n">
        <v>45952</v>
      </c>
      <c r="D3222" t="inlineStr">
        <is>
          <t>ÖREBRO LÄN</t>
        </is>
      </c>
      <c r="E3222" t="inlineStr">
        <is>
          <t>HALLSBERG</t>
        </is>
      </c>
      <c r="F3222" t="inlineStr">
        <is>
          <t>Sveaskog</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5324-2024</t>
        </is>
      </c>
      <c r="B3223" s="1" t="n">
        <v>45331</v>
      </c>
      <c r="C3223" s="1" t="n">
        <v>45952</v>
      </c>
      <c r="D3223" t="inlineStr">
        <is>
          <t>ÖREBRO LÄN</t>
        </is>
      </c>
      <c r="E3223" t="inlineStr">
        <is>
          <t>ÖREBRO</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3294-2024</t>
        </is>
      </c>
      <c r="B3224" s="1" t="n">
        <v>45316</v>
      </c>
      <c r="C3224" s="1" t="n">
        <v>45952</v>
      </c>
      <c r="D3224" t="inlineStr">
        <is>
          <t>ÖREBRO LÄN</t>
        </is>
      </c>
      <c r="E3224" t="inlineStr">
        <is>
          <t>LINDESBERG</t>
        </is>
      </c>
      <c r="G3224" t="n">
        <v>3</v>
      </c>
      <c r="H3224" t="n">
        <v>0</v>
      </c>
      <c r="I3224" t="n">
        <v>0</v>
      </c>
      <c r="J3224" t="n">
        <v>0</v>
      </c>
      <c r="K3224" t="n">
        <v>0</v>
      </c>
      <c r="L3224" t="n">
        <v>0</v>
      </c>
      <c r="M3224" t="n">
        <v>0</v>
      </c>
      <c r="N3224" t="n">
        <v>0</v>
      </c>
      <c r="O3224" t="n">
        <v>0</v>
      </c>
      <c r="P3224" t="n">
        <v>0</v>
      </c>
      <c r="Q3224" t="n">
        <v>0</v>
      </c>
      <c r="R3224" s="2" t="inlineStr"/>
    </row>
    <row r="3225" ht="15" customHeight="1">
      <c r="A3225" t="inlineStr">
        <is>
          <t>A 49675-2025</t>
        </is>
      </c>
      <c r="B3225" s="1" t="n">
        <v>45939</v>
      </c>
      <c r="C3225" s="1" t="n">
        <v>45952</v>
      </c>
      <c r="D3225" t="inlineStr">
        <is>
          <t>ÖREBRO LÄN</t>
        </is>
      </c>
      <c r="E3225" t="inlineStr">
        <is>
          <t>NORA</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29027-2024</t>
        </is>
      </c>
      <c r="B3226" s="1" t="n">
        <v>45481.58833333333</v>
      </c>
      <c r="C3226" s="1" t="n">
        <v>45952</v>
      </c>
      <c r="D3226" t="inlineStr">
        <is>
          <t>ÖREBRO LÄN</t>
        </is>
      </c>
      <c r="E3226" t="inlineStr">
        <is>
          <t>HÄLLEFORS</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64730-2023</t>
        </is>
      </c>
      <c r="B3227" s="1" t="n">
        <v>45281</v>
      </c>
      <c r="C3227" s="1" t="n">
        <v>45952</v>
      </c>
      <c r="D3227" t="inlineStr">
        <is>
          <t>ÖREBRO LÄN</t>
        </is>
      </c>
      <c r="E3227" t="inlineStr">
        <is>
          <t>ÖREBRO</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6869-2025</t>
        </is>
      </c>
      <c r="B3228" s="1" t="n">
        <v>45700</v>
      </c>
      <c r="C3228" s="1" t="n">
        <v>45952</v>
      </c>
      <c r="D3228" t="inlineStr">
        <is>
          <t>ÖREBRO LÄN</t>
        </is>
      </c>
      <c r="E3228" t="inlineStr">
        <is>
          <t>ÖREBRO</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46544-2021</t>
        </is>
      </c>
      <c r="B3229" s="1" t="n">
        <v>44445</v>
      </c>
      <c r="C3229" s="1" t="n">
        <v>45952</v>
      </c>
      <c r="D3229" t="inlineStr">
        <is>
          <t>ÖREBRO LÄN</t>
        </is>
      </c>
      <c r="E3229" t="inlineStr">
        <is>
          <t>NORA</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4416-2023</t>
        </is>
      </c>
      <c r="B3230" s="1" t="n">
        <v>44956</v>
      </c>
      <c r="C3230" s="1" t="n">
        <v>45952</v>
      </c>
      <c r="D3230" t="inlineStr">
        <is>
          <t>ÖREBRO LÄN</t>
        </is>
      </c>
      <c r="E3230" t="inlineStr">
        <is>
          <t>ÖREBRO</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50102-2024</t>
        </is>
      </c>
      <c r="B3231" s="1" t="n">
        <v>45599</v>
      </c>
      <c r="C3231" s="1" t="n">
        <v>45952</v>
      </c>
      <c r="D3231" t="inlineStr">
        <is>
          <t>ÖREBRO LÄN</t>
        </is>
      </c>
      <c r="E3231" t="inlineStr">
        <is>
          <t>ASKERSUND</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41267-2025</t>
        </is>
      </c>
      <c r="B3232" s="1" t="n">
        <v>45898.61796296296</v>
      </c>
      <c r="C3232" s="1" t="n">
        <v>45952</v>
      </c>
      <c r="D3232" t="inlineStr">
        <is>
          <t>ÖREBRO LÄN</t>
        </is>
      </c>
      <c r="E3232" t="inlineStr">
        <is>
          <t>KARLSKOGA</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36880-2022</t>
        </is>
      </c>
      <c r="B3233" s="1" t="n">
        <v>44805.65100694444</v>
      </c>
      <c r="C3233" s="1" t="n">
        <v>45952</v>
      </c>
      <c r="D3233" t="inlineStr">
        <is>
          <t>ÖREBRO LÄN</t>
        </is>
      </c>
      <c r="E3233" t="inlineStr">
        <is>
          <t>HALLSBERG</t>
        </is>
      </c>
      <c r="G3233" t="n">
        <v>2.3</v>
      </c>
      <c r="H3233" t="n">
        <v>0</v>
      </c>
      <c r="I3233" t="n">
        <v>0</v>
      </c>
      <c r="J3233" t="n">
        <v>0</v>
      </c>
      <c r="K3233" t="n">
        <v>0</v>
      </c>
      <c r="L3233" t="n">
        <v>0</v>
      </c>
      <c r="M3233" t="n">
        <v>0</v>
      </c>
      <c r="N3233" t="n">
        <v>0</v>
      </c>
      <c r="O3233" t="n">
        <v>0</v>
      </c>
      <c r="P3233" t="n">
        <v>0</v>
      </c>
      <c r="Q3233" t="n">
        <v>0</v>
      </c>
      <c r="R3233" s="2" t="inlineStr"/>
    </row>
    <row r="3234" ht="15" customHeight="1">
      <c r="A3234" t="inlineStr">
        <is>
          <t>A 4801-2024</t>
        </is>
      </c>
      <c r="B3234" s="1" t="n">
        <v>45328.89141203704</v>
      </c>
      <c r="C3234" s="1" t="n">
        <v>45952</v>
      </c>
      <c r="D3234" t="inlineStr">
        <is>
          <t>ÖREBRO LÄN</t>
        </is>
      </c>
      <c r="E3234" t="inlineStr">
        <is>
          <t>KARLSKOGA</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50073-2025</t>
        </is>
      </c>
      <c r="B3235" s="1" t="n">
        <v>45943.4603125</v>
      </c>
      <c r="C3235" s="1" t="n">
        <v>45952</v>
      </c>
      <c r="D3235" t="inlineStr">
        <is>
          <t>ÖREBRO LÄN</t>
        </is>
      </c>
      <c r="E3235" t="inlineStr">
        <is>
          <t>LINDESBERG</t>
        </is>
      </c>
      <c r="F3235" t="inlineStr">
        <is>
          <t>Sveaskog</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4802-2024</t>
        </is>
      </c>
      <c r="B3236" s="1" t="n">
        <v>45328.8962962963</v>
      </c>
      <c r="C3236" s="1" t="n">
        <v>45952</v>
      </c>
      <c r="D3236" t="inlineStr">
        <is>
          <t>ÖREBRO LÄN</t>
        </is>
      </c>
      <c r="E3236" t="inlineStr">
        <is>
          <t>KARLSKOGA</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8347-2024</t>
        </is>
      </c>
      <c r="B3237" s="1" t="n">
        <v>45352.55664351852</v>
      </c>
      <c r="C3237" s="1" t="n">
        <v>45952</v>
      </c>
      <c r="D3237" t="inlineStr">
        <is>
          <t>ÖREBRO LÄN</t>
        </is>
      </c>
      <c r="E3237" t="inlineStr">
        <is>
          <t>HALLSBERG</t>
        </is>
      </c>
      <c r="F3237" t="inlineStr">
        <is>
          <t>Sveaskog</t>
        </is>
      </c>
      <c r="G3237" t="n">
        <v>9.1</v>
      </c>
      <c r="H3237" t="n">
        <v>0</v>
      </c>
      <c r="I3237" t="n">
        <v>0</v>
      </c>
      <c r="J3237" t="n">
        <v>0</v>
      </c>
      <c r="K3237" t="n">
        <v>0</v>
      </c>
      <c r="L3237" t="n">
        <v>0</v>
      </c>
      <c r="M3237" t="n">
        <v>0</v>
      </c>
      <c r="N3237" t="n">
        <v>0</v>
      </c>
      <c r="O3237" t="n">
        <v>0</v>
      </c>
      <c r="P3237" t="n">
        <v>0</v>
      </c>
      <c r="Q3237" t="n">
        <v>0</v>
      </c>
      <c r="R3237" s="2" t="inlineStr"/>
    </row>
    <row r="3238" ht="15" customHeight="1">
      <c r="A3238" t="inlineStr">
        <is>
          <t>A 14185-2024</t>
        </is>
      </c>
      <c r="B3238" s="1" t="n">
        <v>45393.3562962963</v>
      </c>
      <c r="C3238" s="1" t="n">
        <v>45952</v>
      </c>
      <c r="D3238" t="inlineStr">
        <is>
          <t>ÖREBRO LÄN</t>
        </is>
      </c>
      <c r="E3238" t="inlineStr">
        <is>
          <t>LINDESBERG</t>
        </is>
      </c>
      <c r="F3238" t="inlineStr">
        <is>
          <t>Sveaskog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14190-2024</t>
        </is>
      </c>
      <c r="B3239" s="1" t="n">
        <v>45393.36060185185</v>
      </c>
      <c r="C3239" s="1" t="n">
        <v>45952</v>
      </c>
      <c r="D3239" t="inlineStr">
        <is>
          <t>ÖREBRO LÄN</t>
        </is>
      </c>
      <c r="E3239" t="inlineStr">
        <is>
          <t>LINDESBERG</t>
        </is>
      </c>
      <c r="F3239" t="inlineStr">
        <is>
          <t>Sveaskog</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25474-2025</t>
        </is>
      </c>
      <c r="B3240" s="1" t="n">
        <v>45802.75615740741</v>
      </c>
      <c r="C3240" s="1" t="n">
        <v>45952</v>
      </c>
      <c r="D3240" t="inlineStr">
        <is>
          <t>ÖREBRO LÄN</t>
        </is>
      </c>
      <c r="E3240" t="inlineStr">
        <is>
          <t>HALLSBERG</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8869-2022</t>
        </is>
      </c>
      <c r="B3241" s="1" t="n">
        <v>44614</v>
      </c>
      <c r="C3241" s="1" t="n">
        <v>45952</v>
      </c>
      <c r="D3241" t="inlineStr">
        <is>
          <t>ÖREBRO LÄN</t>
        </is>
      </c>
      <c r="E3241" t="inlineStr">
        <is>
          <t>HALLSBERG</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41642-2025</t>
        </is>
      </c>
      <c r="B3242" s="1" t="n">
        <v>45901</v>
      </c>
      <c r="C3242" s="1" t="n">
        <v>45952</v>
      </c>
      <c r="D3242" t="inlineStr">
        <is>
          <t>ÖREBRO LÄN</t>
        </is>
      </c>
      <c r="E3242" t="inlineStr">
        <is>
          <t>DEGERFORS</t>
        </is>
      </c>
      <c r="G3242" t="n">
        <v>4.1</v>
      </c>
      <c r="H3242" t="n">
        <v>0</v>
      </c>
      <c r="I3242" t="n">
        <v>0</v>
      </c>
      <c r="J3242" t="n">
        <v>0</v>
      </c>
      <c r="K3242" t="n">
        <v>0</v>
      </c>
      <c r="L3242" t="n">
        <v>0</v>
      </c>
      <c r="M3242" t="n">
        <v>0</v>
      </c>
      <c r="N3242" t="n">
        <v>0</v>
      </c>
      <c r="O3242" t="n">
        <v>0</v>
      </c>
      <c r="P3242" t="n">
        <v>0</v>
      </c>
      <c r="Q3242" t="n">
        <v>0</v>
      </c>
      <c r="R3242" s="2" t="inlineStr"/>
    </row>
    <row r="3243" ht="15" customHeight="1">
      <c r="A3243" t="inlineStr">
        <is>
          <t>A 56136-2022</t>
        </is>
      </c>
      <c r="B3243" s="1" t="n">
        <v>44889</v>
      </c>
      <c r="C3243" s="1" t="n">
        <v>45952</v>
      </c>
      <c r="D3243" t="inlineStr">
        <is>
          <t>ÖREBRO LÄN</t>
        </is>
      </c>
      <c r="E3243" t="inlineStr">
        <is>
          <t>NORA</t>
        </is>
      </c>
      <c r="G3243" t="n">
        <v>5.9</v>
      </c>
      <c r="H3243" t="n">
        <v>0</v>
      </c>
      <c r="I3243" t="n">
        <v>0</v>
      </c>
      <c r="J3243" t="n">
        <v>0</v>
      </c>
      <c r="K3243" t="n">
        <v>0</v>
      </c>
      <c r="L3243" t="n">
        <v>0</v>
      </c>
      <c r="M3243" t="n">
        <v>0</v>
      </c>
      <c r="N3243" t="n">
        <v>0</v>
      </c>
      <c r="O3243" t="n">
        <v>0</v>
      </c>
      <c r="P3243" t="n">
        <v>0</v>
      </c>
      <c r="Q3243" t="n">
        <v>0</v>
      </c>
      <c r="R3243" s="2" t="inlineStr"/>
    </row>
    <row r="3244" ht="15" customHeight="1">
      <c r="A3244" t="inlineStr">
        <is>
          <t>A 41288-2025</t>
        </is>
      </c>
      <c r="B3244" s="1" t="n">
        <v>45898.63958333333</v>
      </c>
      <c r="C3244" s="1" t="n">
        <v>45952</v>
      </c>
      <c r="D3244" t="inlineStr">
        <is>
          <t>ÖREBRO LÄN</t>
        </is>
      </c>
      <c r="E3244" t="inlineStr">
        <is>
          <t>ASKERSUND</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12545-2023</t>
        </is>
      </c>
      <c r="B3245" s="1" t="n">
        <v>45000</v>
      </c>
      <c r="C3245" s="1" t="n">
        <v>45952</v>
      </c>
      <c r="D3245" t="inlineStr">
        <is>
          <t>ÖREBRO LÄN</t>
        </is>
      </c>
      <c r="E3245" t="inlineStr">
        <is>
          <t>HÄLLEFORS</t>
        </is>
      </c>
      <c r="F3245" t="inlineStr">
        <is>
          <t>Bergvik skog väst AB</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50023-2025</t>
        </is>
      </c>
      <c r="B3246" s="1" t="n">
        <v>45943.37494212963</v>
      </c>
      <c r="C3246" s="1" t="n">
        <v>45952</v>
      </c>
      <c r="D3246" t="inlineStr">
        <is>
          <t>ÖREBRO LÄN</t>
        </is>
      </c>
      <c r="E3246" t="inlineStr">
        <is>
          <t>LJUSNARSBERG</t>
        </is>
      </c>
      <c r="F3246" t="inlineStr">
        <is>
          <t>Bergvik skog väst AB</t>
        </is>
      </c>
      <c r="G3246" t="n">
        <v>10.5</v>
      </c>
      <c r="H3246" t="n">
        <v>0</v>
      </c>
      <c r="I3246" t="n">
        <v>0</v>
      </c>
      <c r="J3246" t="n">
        <v>0</v>
      </c>
      <c r="K3246" t="n">
        <v>0</v>
      </c>
      <c r="L3246" t="n">
        <v>0</v>
      </c>
      <c r="M3246" t="n">
        <v>0</v>
      </c>
      <c r="N3246" t="n">
        <v>0</v>
      </c>
      <c r="O3246" t="n">
        <v>0</v>
      </c>
      <c r="P3246" t="n">
        <v>0</v>
      </c>
      <c r="Q3246" t="n">
        <v>0</v>
      </c>
      <c r="R3246" s="2" t="inlineStr"/>
    </row>
    <row r="3247" ht="15" customHeight="1">
      <c r="A3247" t="inlineStr">
        <is>
          <t>A 5684-2025</t>
        </is>
      </c>
      <c r="B3247" s="1" t="n">
        <v>45694</v>
      </c>
      <c r="C3247" s="1" t="n">
        <v>45952</v>
      </c>
      <c r="D3247" t="inlineStr">
        <is>
          <t>ÖREBRO LÄN</t>
        </is>
      </c>
      <c r="E3247" t="inlineStr">
        <is>
          <t>HÄLLEFORS</t>
        </is>
      </c>
      <c r="F3247" t="inlineStr">
        <is>
          <t>Bergvik skog väst AB</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41383-2025</t>
        </is>
      </c>
      <c r="B3248" s="1" t="n">
        <v>45898</v>
      </c>
      <c r="C3248" s="1" t="n">
        <v>45952</v>
      </c>
      <c r="D3248" t="inlineStr">
        <is>
          <t>ÖREBRO LÄN</t>
        </is>
      </c>
      <c r="E3248" t="inlineStr">
        <is>
          <t>LJUSNARSBERG</t>
        </is>
      </c>
      <c r="F3248" t="inlineStr">
        <is>
          <t>Bergvik skog väst AB</t>
        </is>
      </c>
      <c r="G3248" t="n">
        <v>8.199999999999999</v>
      </c>
      <c r="H3248" t="n">
        <v>0</v>
      </c>
      <c r="I3248" t="n">
        <v>0</v>
      </c>
      <c r="J3248" t="n">
        <v>0</v>
      </c>
      <c r="K3248" t="n">
        <v>0</v>
      </c>
      <c r="L3248" t="n">
        <v>0</v>
      </c>
      <c r="M3248" t="n">
        <v>0</v>
      </c>
      <c r="N3248" t="n">
        <v>0</v>
      </c>
      <c r="O3248" t="n">
        <v>0</v>
      </c>
      <c r="P3248" t="n">
        <v>0</v>
      </c>
      <c r="Q3248" t="n">
        <v>0</v>
      </c>
      <c r="R3248" s="2" t="inlineStr"/>
    </row>
    <row r="3249" ht="15" customHeight="1">
      <c r="A3249" t="inlineStr">
        <is>
          <t>A 25744-2025</t>
        </is>
      </c>
      <c r="B3249" s="1" t="n">
        <v>45804.18709490741</v>
      </c>
      <c r="C3249" s="1" t="n">
        <v>45952</v>
      </c>
      <c r="D3249" t="inlineStr">
        <is>
          <t>ÖREBRO LÄN</t>
        </is>
      </c>
      <c r="E3249" t="inlineStr">
        <is>
          <t>DEGERFORS</t>
        </is>
      </c>
      <c r="F3249" t="inlineStr">
        <is>
          <t>Sveaskog</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25842-2025</t>
        </is>
      </c>
      <c r="B3250" s="1" t="n">
        <v>45804.45474537037</v>
      </c>
      <c r="C3250" s="1" t="n">
        <v>45952</v>
      </c>
      <c r="D3250" t="inlineStr">
        <is>
          <t>ÖREBRO LÄN</t>
        </is>
      </c>
      <c r="E3250" t="inlineStr">
        <is>
          <t>LINDESBERG</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41094-2021</t>
        </is>
      </c>
      <c r="B3251" s="1" t="n">
        <v>44422</v>
      </c>
      <c r="C3251" s="1" t="n">
        <v>45952</v>
      </c>
      <c r="D3251" t="inlineStr">
        <is>
          <t>ÖREBRO LÄN</t>
        </is>
      </c>
      <c r="E3251" t="inlineStr">
        <is>
          <t>ASKERSUND</t>
        </is>
      </c>
      <c r="F3251" t="inlineStr">
        <is>
          <t>Sveaskog</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16961-2022</t>
        </is>
      </c>
      <c r="B3252" s="1" t="n">
        <v>44676</v>
      </c>
      <c r="C3252" s="1" t="n">
        <v>45952</v>
      </c>
      <c r="D3252" t="inlineStr">
        <is>
          <t>ÖREBRO LÄN</t>
        </is>
      </c>
      <c r="E3252" t="inlineStr">
        <is>
          <t>ÖREBRO</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26016-2025</t>
        </is>
      </c>
      <c r="B3253" s="1" t="n">
        <v>45804.67795138889</v>
      </c>
      <c r="C3253" s="1" t="n">
        <v>45952</v>
      </c>
      <c r="D3253" t="inlineStr">
        <is>
          <t>ÖREBRO LÄN</t>
        </is>
      </c>
      <c r="E3253" t="inlineStr">
        <is>
          <t>LINDESBERG</t>
        </is>
      </c>
      <c r="G3253" t="n">
        <v>10</v>
      </c>
      <c r="H3253" t="n">
        <v>0</v>
      </c>
      <c r="I3253" t="n">
        <v>0</v>
      </c>
      <c r="J3253" t="n">
        <v>0</v>
      </c>
      <c r="K3253" t="n">
        <v>0</v>
      </c>
      <c r="L3253" t="n">
        <v>0</v>
      </c>
      <c r="M3253" t="n">
        <v>0</v>
      </c>
      <c r="N3253" t="n">
        <v>0</v>
      </c>
      <c r="O3253" t="n">
        <v>0</v>
      </c>
      <c r="P3253" t="n">
        <v>0</v>
      </c>
      <c r="Q3253" t="n">
        <v>0</v>
      </c>
      <c r="R3253" s="2" t="inlineStr"/>
    </row>
    <row r="3254" ht="15" customHeight="1">
      <c r="A3254" t="inlineStr">
        <is>
          <t>A 43675-2024</t>
        </is>
      </c>
      <c r="B3254" s="1" t="n">
        <v>45569</v>
      </c>
      <c r="C3254" s="1" t="n">
        <v>45952</v>
      </c>
      <c r="D3254" t="inlineStr">
        <is>
          <t>ÖREBRO LÄN</t>
        </is>
      </c>
      <c r="E3254" t="inlineStr">
        <is>
          <t>LAXÅ</t>
        </is>
      </c>
      <c r="F3254" t="inlineStr">
        <is>
          <t>Sveaskog</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6281-2025</t>
        </is>
      </c>
      <c r="B3255" s="1" t="n">
        <v>45698</v>
      </c>
      <c r="C3255" s="1" t="n">
        <v>45952</v>
      </c>
      <c r="D3255" t="inlineStr">
        <is>
          <t>ÖREBRO LÄN</t>
        </is>
      </c>
      <c r="E3255" t="inlineStr">
        <is>
          <t>HÄLLEFORS</t>
        </is>
      </c>
      <c r="F3255" t="inlineStr">
        <is>
          <t>Bergvik skog väst AB</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5917-2023</t>
        </is>
      </c>
      <c r="B3256" s="1" t="n">
        <v>44963.68445601852</v>
      </c>
      <c r="C3256" s="1" t="n">
        <v>45952</v>
      </c>
      <c r="D3256" t="inlineStr">
        <is>
          <t>ÖREBRO LÄN</t>
        </is>
      </c>
      <c r="E3256" t="inlineStr">
        <is>
          <t>LAXÅ</t>
        </is>
      </c>
      <c r="G3256" t="n">
        <v>3.1</v>
      </c>
      <c r="H3256" t="n">
        <v>0</v>
      </c>
      <c r="I3256" t="n">
        <v>0</v>
      </c>
      <c r="J3256" t="n">
        <v>0</v>
      </c>
      <c r="K3256" t="n">
        <v>0</v>
      </c>
      <c r="L3256" t="n">
        <v>0</v>
      </c>
      <c r="M3256" t="n">
        <v>0</v>
      </c>
      <c r="N3256" t="n">
        <v>0</v>
      </c>
      <c r="O3256" t="n">
        <v>0</v>
      </c>
      <c r="P3256" t="n">
        <v>0</v>
      </c>
      <c r="Q3256" t="n">
        <v>0</v>
      </c>
      <c r="R3256" s="2" t="inlineStr"/>
    </row>
    <row r="3257" ht="15" customHeight="1">
      <c r="A3257" t="inlineStr">
        <is>
          <t>A 14500-2024</t>
        </is>
      </c>
      <c r="B3257" s="1" t="n">
        <v>45394.59287037037</v>
      </c>
      <c r="C3257" s="1" t="n">
        <v>45952</v>
      </c>
      <c r="D3257" t="inlineStr">
        <is>
          <t>ÖREBRO LÄN</t>
        </is>
      </c>
      <c r="E3257" t="inlineStr">
        <is>
          <t>LJUSNARSBERG</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26301-2025</t>
        </is>
      </c>
      <c r="B3258" s="1" t="n">
        <v>45805.63861111111</v>
      </c>
      <c r="C3258" s="1" t="n">
        <v>45952</v>
      </c>
      <c r="D3258" t="inlineStr">
        <is>
          <t>ÖREBRO LÄN</t>
        </is>
      </c>
      <c r="E3258" t="inlineStr">
        <is>
          <t>DEGERFORS</t>
        </is>
      </c>
      <c r="F3258" t="inlineStr">
        <is>
          <t>Sveaskog</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9539-2025</t>
        </is>
      </c>
      <c r="B3259" s="1" t="n">
        <v>45715.57984953704</v>
      </c>
      <c r="C3259" s="1" t="n">
        <v>45952</v>
      </c>
      <c r="D3259" t="inlineStr">
        <is>
          <t>ÖREBRO LÄN</t>
        </is>
      </c>
      <c r="E3259" t="inlineStr">
        <is>
          <t>HÄLLEFORS</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49944-2025</t>
        </is>
      </c>
      <c r="B3260" s="1" t="n">
        <v>45940.69643518519</v>
      </c>
      <c r="C3260" s="1" t="n">
        <v>45952</v>
      </c>
      <c r="D3260" t="inlineStr">
        <is>
          <t>ÖREBRO LÄN</t>
        </is>
      </c>
      <c r="E3260" t="inlineStr">
        <is>
          <t>LINDESBERG</t>
        </is>
      </c>
      <c r="F3260" t="inlineStr">
        <is>
          <t>Sveaskog</t>
        </is>
      </c>
      <c r="G3260" t="n">
        <v>2.6</v>
      </c>
      <c r="H3260" t="n">
        <v>0</v>
      </c>
      <c r="I3260" t="n">
        <v>0</v>
      </c>
      <c r="J3260" t="n">
        <v>0</v>
      </c>
      <c r="K3260" t="n">
        <v>0</v>
      </c>
      <c r="L3260" t="n">
        <v>0</v>
      </c>
      <c r="M3260" t="n">
        <v>0</v>
      </c>
      <c r="N3260" t="n">
        <v>0</v>
      </c>
      <c r="O3260" t="n">
        <v>0</v>
      </c>
      <c r="P3260" t="n">
        <v>0</v>
      </c>
      <c r="Q3260" t="n">
        <v>0</v>
      </c>
      <c r="R3260" s="2" t="inlineStr"/>
    </row>
    <row r="3261" ht="15" customHeight="1">
      <c r="A3261" t="inlineStr">
        <is>
          <t>A 17983-2025</t>
        </is>
      </c>
      <c r="B3261" s="1" t="n">
        <v>45761.38829861111</v>
      </c>
      <c r="C3261" s="1" t="n">
        <v>45952</v>
      </c>
      <c r="D3261" t="inlineStr">
        <is>
          <t>ÖREBRO LÄN</t>
        </is>
      </c>
      <c r="E3261" t="inlineStr">
        <is>
          <t>ÖREBRO</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56464-2024</t>
        </is>
      </c>
      <c r="B3262" s="1" t="n">
        <v>45624</v>
      </c>
      <c r="C3262" s="1" t="n">
        <v>45952</v>
      </c>
      <c r="D3262" t="inlineStr">
        <is>
          <t>ÖREBRO LÄN</t>
        </is>
      </c>
      <c r="E3262" t="inlineStr">
        <is>
          <t>DEGERFORS</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18360-2024</t>
        </is>
      </c>
      <c r="B3263" s="1" t="n">
        <v>45422</v>
      </c>
      <c r="C3263" s="1" t="n">
        <v>45952</v>
      </c>
      <c r="D3263" t="inlineStr">
        <is>
          <t>ÖREBRO LÄN</t>
        </is>
      </c>
      <c r="E3263" t="inlineStr">
        <is>
          <t>ÖREBRO</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44457-2022</t>
        </is>
      </c>
      <c r="B3264" s="1" t="n">
        <v>44839</v>
      </c>
      <c r="C3264" s="1" t="n">
        <v>45952</v>
      </c>
      <c r="D3264" t="inlineStr">
        <is>
          <t>ÖREBRO LÄN</t>
        </is>
      </c>
      <c r="E3264" t="inlineStr">
        <is>
          <t>DEGERFORS</t>
        </is>
      </c>
      <c r="G3264" t="n">
        <v>6.8</v>
      </c>
      <c r="H3264" t="n">
        <v>0</v>
      </c>
      <c r="I3264" t="n">
        <v>0</v>
      </c>
      <c r="J3264" t="n">
        <v>0</v>
      </c>
      <c r="K3264" t="n">
        <v>0</v>
      </c>
      <c r="L3264" t="n">
        <v>0</v>
      </c>
      <c r="M3264" t="n">
        <v>0</v>
      </c>
      <c r="N3264" t="n">
        <v>0</v>
      </c>
      <c r="O3264" t="n">
        <v>0</v>
      </c>
      <c r="P3264" t="n">
        <v>0</v>
      </c>
      <c r="Q3264" t="n">
        <v>0</v>
      </c>
      <c r="R3264" s="2" t="inlineStr"/>
    </row>
    <row r="3265" ht="15" customHeight="1">
      <c r="A3265" t="inlineStr">
        <is>
          <t>A 323-2024</t>
        </is>
      </c>
      <c r="B3265" s="1" t="n">
        <v>45295.56476851852</v>
      </c>
      <c r="C3265" s="1" t="n">
        <v>45952</v>
      </c>
      <c r="D3265" t="inlineStr">
        <is>
          <t>ÖREBRO LÄN</t>
        </is>
      </c>
      <c r="E3265" t="inlineStr">
        <is>
          <t>KUMLA</t>
        </is>
      </c>
      <c r="G3265" t="n">
        <v>1.8</v>
      </c>
      <c r="H3265" t="n">
        <v>0</v>
      </c>
      <c r="I3265" t="n">
        <v>0</v>
      </c>
      <c r="J3265" t="n">
        <v>0</v>
      </c>
      <c r="K3265" t="n">
        <v>0</v>
      </c>
      <c r="L3265" t="n">
        <v>0</v>
      </c>
      <c r="M3265" t="n">
        <v>0</v>
      </c>
      <c r="N3265" t="n">
        <v>0</v>
      </c>
      <c r="O3265" t="n">
        <v>0</v>
      </c>
      <c r="P3265" t="n">
        <v>0</v>
      </c>
      <c r="Q3265" t="n">
        <v>0</v>
      </c>
      <c r="R3265" s="2" t="inlineStr"/>
    </row>
    <row r="3266" ht="15" customHeight="1">
      <c r="A3266" t="inlineStr">
        <is>
          <t>A 16676-2025</t>
        </is>
      </c>
      <c r="B3266" s="1" t="n">
        <v>45754.44658564815</v>
      </c>
      <c r="C3266" s="1" t="n">
        <v>45952</v>
      </c>
      <c r="D3266" t="inlineStr">
        <is>
          <t>ÖREBRO LÄN</t>
        </is>
      </c>
      <c r="E3266" t="inlineStr">
        <is>
          <t>ÖREBRO</t>
        </is>
      </c>
      <c r="G3266" t="n">
        <v>5.8</v>
      </c>
      <c r="H3266" t="n">
        <v>0</v>
      </c>
      <c r="I3266" t="n">
        <v>0</v>
      </c>
      <c r="J3266" t="n">
        <v>0</v>
      </c>
      <c r="K3266" t="n">
        <v>0</v>
      </c>
      <c r="L3266" t="n">
        <v>0</v>
      </c>
      <c r="M3266" t="n">
        <v>0</v>
      </c>
      <c r="N3266" t="n">
        <v>0</v>
      </c>
      <c r="O3266" t="n">
        <v>0</v>
      </c>
      <c r="P3266" t="n">
        <v>0</v>
      </c>
      <c r="Q3266" t="n">
        <v>0</v>
      </c>
      <c r="R3266" s="2" t="inlineStr"/>
    </row>
    <row r="3267" ht="15" customHeight="1">
      <c r="A3267" t="inlineStr">
        <is>
          <t>A 34437-2022</t>
        </is>
      </c>
      <c r="B3267" s="1" t="n">
        <v>44792</v>
      </c>
      <c r="C3267" s="1" t="n">
        <v>45952</v>
      </c>
      <c r="D3267" t="inlineStr">
        <is>
          <t>ÖREBRO LÄN</t>
        </is>
      </c>
      <c r="E3267" t="inlineStr">
        <is>
          <t>LAXÅ</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5357-2024</t>
        </is>
      </c>
      <c r="B3268" s="1" t="n">
        <v>45331</v>
      </c>
      <c r="C3268" s="1" t="n">
        <v>45952</v>
      </c>
      <c r="D3268" t="inlineStr">
        <is>
          <t>ÖREBRO LÄN</t>
        </is>
      </c>
      <c r="E3268" t="inlineStr">
        <is>
          <t>ÖREBRO</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34712-2024</t>
        </is>
      </c>
      <c r="B3269" s="1" t="n">
        <v>45526</v>
      </c>
      <c r="C3269" s="1" t="n">
        <v>45952</v>
      </c>
      <c r="D3269" t="inlineStr">
        <is>
          <t>ÖREBRO LÄN</t>
        </is>
      </c>
      <c r="E3269" t="inlineStr">
        <is>
          <t>LJUSNARSBERG</t>
        </is>
      </c>
      <c r="G3269" t="n">
        <v>2.2</v>
      </c>
      <c r="H3269" t="n">
        <v>0</v>
      </c>
      <c r="I3269" t="n">
        <v>0</v>
      </c>
      <c r="J3269" t="n">
        <v>0</v>
      </c>
      <c r="K3269" t="n">
        <v>0</v>
      </c>
      <c r="L3269" t="n">
        <v>0</v>
      </c>
      <c r="M3269" t="n">
        <v>0</v>
      </c>
      <c r="N3269" t="n">
        <v>0</v>
      </c>
      <c r="O3269" t="n">
        <v>0</v>
      </c>
      <c r="P3269" t="n">
        <v>0</v>
      </c>
      <c r="Q3269" t="n">
        <v>0</v>
      </c>
      <c r="R3269" s="2" t="inlineStr"/>
    </row>
    <row r="3270" ht="15" customHeight="1">
      <c r="A3270" t="inlineStr">
        <is>
          <t>A 51822-2022</t>
        </is>
      </c>
      <c r="B3270" s="1" t="n">
        <v>44872.56392361111</v>
      </c>
      <c r="C3270" s="1" t="n">
        <v>45952</v>
      </c>
      <c r="D3270" t="inlineStr">
        <is>
          <t>ÖREBRO LÄN</t>
        </is>
      </c>
      <c r="E3270" t="inlineStr">
        <is>
          <t>LAXÅ</t>
        </is>
      </c>
      <c r="F3270" t="inlineStr">
        <is>
          <t>Sveaskog</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57243-2022</t>
        </is>
      </c>
      <c r="B3271" s="1" t="n">
        <v>44895.71835648148</v>
      </c>
      <c r="C3271" s="1" t="n">
        <v>45952</v>
      </c>
      <c r="D3271" t="inlineStr">
        <is>
          <t>ÖREBRO LÄN</t>
        </is>
      </c>
      <c r="E3271" t="inlineStr">
        <is>
          <t>ÖREBRO</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44905-2021</t>
        </is>
      </c>
      <c r="B3272" s="1" t="n">
        <v>44438.65045138889</v>
      </c>
      <c r="C3272" s="1" t="n">
        <v>45952</v>
      </c>
      <c r="D3272" t="inlineStr">
        <is>
          <t>ÖREBRO LÄN</t>
        </is>
      </c>
      <c r="E3272" t="inlineStr">
        <is>
          <t>HÄLLEFORS</t>
        </is>
      </c>
      <c r="F3272" t="inlineStr">
        <is>
          <t>Sveaskog</t>
        </is>
      </c>
      <c r="G3272" t="n">
        <v>5.3</v>
      </c>
      <c r="H3272" t="n">
        <v>0</v>
      </c>
      <c r="I3272" t="n">
        <v>0</v>
      </c>
      <c r="J3272" t="n">
        <v>0</v>
      </c>
      <c r="K3272" t="n">
        <v>0</v>
      </c>
      <c r="L3272" t="n">
        <v>0</v>
      </c>
      <c r="M3272" t="n">
        <v>0</v>
      </c>
      <c r="N3272" t="n">
        <v>0</v>
      </c>
      <c r="O3272" t="n">
        <v>0</v>
      </c>
      <c r="P3272" t="n">
        <v>0</v>
      </c>
      <c r="Q3272" t="n">
        <v>0</v>
      </c>
      <c r="R3272" s="2" t="inlineStr"/>
    </row>
    <row r="3273" ht="15" customHeight="1">
      <c r="A3273" t="inlineStr">
        <is>
          <t>A 26147-2025</t>
        </is>
      </c>
      <c r="B3273" s="1" t="n">
        <v>45805.4308912037</v>
      </c>
      <c r="C3273" s="1" t="n">
        <v>45952</v>
      </c>
      <c r="D3273" t="inlineStr">
        <is>
          <t>ÖREBRO LÄN</t>
        </is>
      </c>
      <c r="E3273" t="inlineStr">
        <is>
          <t>DEGERFORS</t>
        </is>
      </c>
      <c r="F3273" t="inlineStr">
        <is>
          <t>Sveaskog</t>
        </is>
      </c>
      <c r="G3273" t="n">
        <v>3</v>
      </c>
      <c r="H3273" t="n">
        <v>0</v>
      </c>
      <c r="I3273" t="n">
        <v>0</v>
      </c>
      <c r="J3273" t="n">
        <v>0</v>
      </c>
      <c r="K3273" t="n">
        <v>0</v>
      </c>
      <c r="L3273" t="n">
        <v>0</v>
      </c>
      <c r="M3273" t="n">
        <v>0</v>
      </c>
      <c r="N3273" t="n">
        <v>0</v>
      </c>
      <c r="O3273" t="n">
        <v>0</v>
      </c>
      <c r="P3273" t="n">
        <v>0</v>
      </c>
      <c r="Q3273" t="n">
        <v>0</v>
      </c>
      <c r="R3273" s="2" t="inlineStr"/>
    </row>
    <row r="3274" ht="15" customHeight="1">
      <c r="A3274" t="inlineStr">
        <is>
          <t>A 26170-2025</t>
        </is>
      </c>
      <c r="B3274" s="1" t="n">
        <v>45805.46351851852</v>
      </c>
      <c r="C3274" s="1" t="n">
        <v>45952</v>
      </c>
      <c r="D3274" t="inlineStr">
        <is>
          <t>ÖREBRO LÄN</t>
        </is>
      </c>
      <c r="E3274" t="inlineStr">
        <is>
          <t>DEGERFORS</t>
        </is>
      </c>
      <c r="F3274" t="inlineStr">
        <is>
          <t>Sveaskog</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44972-2021</t>
        </is>
      </c>
      <c r="B3275" s="1" t="n">
        <v>44438</v>
      </c>
      <c r="C3275" s="1" t="n">
        <v>45952</v>
      </c>
      <c r="D3275" t="inlineStr">
        <is>
          <t>ÖREBRO LÄN</t>
        </is>
      </c>
      <c r="E3275" t="inlineStr">
        <is>
          <t>ASKERSUND</t>
        </is>
      </c>
      <c r="G3275" t="n">
        <v>6.8</v>
      </c>
      <c r="H3275" t="n">
        <v>0</v>
      </c>
      <c r="I3275" t="n">
        <v>0</v>
      </c>
      <c r="J3275" t="n">
        <v>0</v>
      </c>
      <c r="K3275" t="n">
        <v>0</v>
      </c>
      <c r="L3275" t="n">
        <v>0</v>
      </c>
      <c r="M3275" t="n">
        <v>0</v>
      </c>
      <c r="N3275" t="n">
        <v>0</v>
      </c>
      <c r="O3275" t="n">
        <v>0</v>
      </c>
      <c r="P3275" t="n">
        <v>0</v>
      </c>
      <c r="Q3275" t="n">
        <v>0</v>
      </c>
      <c r="R3275" s="2" t="inlineStr"/>
    </row>
    <row r="3276" ht="15" customHeight="1">
      <c r="A3276" t="inlineStr">
        <is>
          <t>A 14176-2025</t>
        </is>
      </c>
      <c r="B3276" s="1" t="n">
        <v>45740.52974537037</v>
      </c>
      <c r="C3276" s="1" t="n">
        <v>45952</v>
      </c>
      <c r="D3276" t="inlineStr">
        <is>
          <t>ÖREBRO LÄN</t>
        </is>
      </c>
      <c r="E3276" t="inlineStr">
        <is>
          <t>LEKEBERG</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14205-2025</t>
        </is>
      </c>
      <c r="B3277" s="1" t="n">
        <v>45740.57543981481</v>
      </c>
      <c r="C3277" s="1" t="n">
        <v>45952</v>
      </c>
      <c r="D3277" t="inlineStr">
        <is>
          <t>ÖREBRO LÄN</t>
        </is>
      </c>
      <c r="E3277" t="inlineStr">
        <is>
          <t>LAXÅ</t>
        </is>
      </c>
      <c r="F3277" t="inlineStr">
        <is>
          <t>Sveaskog</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33151-2021</t>
        </is>
      </c>
      <c r="B3278" s="1" t="n">
        <v>44376.67820601852</v>
      </c>
      <c r="C3278" s="1" t="n">
        <v>45952</v>
      </c>
      <c r="D3278" t="inlineStr">
        <is>
          <t>ÖREBRO LÄN</t>
        </is>
      </c>
      <c r="E3278" t="inlineStr">
        <is>
          <t>ASKERSUND</t>
        </is>
      </c>
      <c r="G3278" t="n">
        <v>11.3</v>
      </c>
      <c r="H3278" t="n">
        <v>0</v>
      </c>
      <c r="I3278" t="n">
        <v>0</v>
      </c>
      <c r="J3278" t="n">
        <v>0</v>
      </c>
      <c r="K3278" t="n">
        <v>0</v>
      </c>
      <c r="L3278" t="n">
        <v>0</v>
      </c>
      <c r="M3278" t="n">
        <v>0</v>
      </c>
      <c r="N3278" t="n">
        <v>0</v>
      </c>
      <c r="O3278" t="n">
        <v>0</v>
      </c>
      <c r="P3278" t="n">
        <v>0</v>
      </c>
      <c r="Q3278" t="n">
        <v>0</v>
      </c>
      <c r="R3278" s="2" t="inlineStr"/>
    </row>
    <row r="3279" ht="15" customHeight="1">
      <c r="A3279" t="inlineStr">
        <is>
          <t>A 2295-2023</t>
        </is>
      </c>
      <c r="B3279" s="1" t="n">
        <v>44942</v>
      </c>
      <c r="C3279" s="1" t="n">
        <v>45952</v>
      </c>
      <c r="D3279" t="inlineStr">
        <is>
          <t>ÖREBRO LÄN</t>
        </is>
      </c>
      <c r="E3279" t="inlineStr">
        <is>
          <t>ASKERSUND</t>
        </is>
      </c>
      <c r="G3279" t="n">
        <v>2.2</v>
      </c>
      <c r="H3279" t="n">
        <v>0</v>
      </c>
      <c r="I3279" t="n">
        <v>0</v>
      </c>
      <c r="J3279" t="n">
        <v>0</v>
      </c>
      <c r="K3279" t="n">
        <v>0</v>
      </c>
      <c r="L3279" t="n">
        <v>0</v>
      </c>
      <c r="M3279" t="n">
        <v>0</v>
      </c>
      <c r="N3279" t="n">
        <v>0</v>
      </c>
      <c r="O3279" t="n">
        <v>0</v>
      </c>
      <c r="P3279" t="n">
        <v>0</v>
      </c>
      <c r="Q3279" t="n">
        <v>0</v>
      </c>
      <c r="R3279" s="2" t="inlineStr"/>
    </row>
    <row r="3280" ht="15" customHeight="1">
      <c r="A3280" t="inlineStr">
        <is>
          <t>A 51656-2023</t>
        </is>
      </c>
      <c r="B3280" s="1" t="n">
        <v>45222</v>
      </c>
      <c r="C3280" s="1" t="n">
        <v>45952</v>
      </c>
      <c r="D3280" t="inlineStr">
        <is>
          <t>ÖREBRO LÄN</t>
        </is>
      </c>
      <c r="E3280" t="inlineStr">
        <is>
          <t>LINDESBERG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8990-2023</t>
        </is>
      </c>
      <c r="B3281" s="1" t="n">
        <v>44979.55237268518</v>
      </c>
      <c r="C3281" s="1" t="n">
        <v>45952</v>
      </c>
      <c r="D3281" t="inlineStr">
        <is>
          <t>ÖREBRO LÄN</t>
        </is>
      </c>
      <c r="E3281" t="inlineStr">
        <is>
          <t>KARLSKOGA</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50072-2025</t>
        </is>
      </c>
      <c r="B3282" s="1" t="n">
        <v>45943.45966435185</v>
      </c>
      <c r="C3282" s="1" t="n">
        <v>45952</v>
      </c>
      <c r="D3282" t="inlineStr">
        <is>
          <t>ÖREBRO LÄN</t>
        </is>
      </c>
      <c r="E3282" t="inlineStr">
        <is>
          <t>LINDESBERG</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24913-2023</t>
        </is>
      </c>
      <c r="B3283" s="1" t="n">
        <v>45085.49424768519</v>
      </c>
      <c r="C3283" s="1" t="n">
        <v>45952</v>
      </c>
      <c r="D3283" t="inlineStr">
        <is>
          <t>ÖREBRO LÄN</t>
        </is>
      </c>
      <c r="E3283" t="inlineStr">
        <is>
          <t>LEKEBERG</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9769-2025</t>
        </is>
      </c>
      <c r="B3284" s="1" t="n">
        <v>45716.48861111111</v>
      </c>
      <c r="C3284" s="1" t="n">
        <v>45952</v>
      </c>
      <c r="D3284" t="inlineStr">
        <is>
          <t>ÖREBRO LÄN</t>
        </is>
      </c>
      <c r="E3284" t="inlineStr">
        <is>
          <t>LEKEBERG</t>
        </is>
      </c>
      <c r="G3284" t="n">
        <v>0.6</v>
      </c>
      <c r="H3284" t="n">
        <v>0</v>
      </c>
      <c r="I3284" t="n">
        <v>0</v>
      </c>
      <c r="J3284" t="n">
        <v>0</v>
      </c>
      <c r="K3284" t="n">
        <v>0</v>
      </c>
      <c r="L3284" t="n">
        <v>0</v>
      </c>
      <c r="M3284" t="n">
        <v>0</v>
      </c>
      <c r="N3284" t="n">
        <v>0</v>
      </c>
      <c r="O3284" t="n">
        <v>0</v>
      </c>
      <c r="P3284" t="n">
        <v>0</v>
      </c>
      <c r="Q3284" t="n">
        <v>0</v>
      </c>
      <c r="R3284" s="2" t="inlineStr"/>
    </row>
    <row r="3285" ht="15" customHeight="1">
      <c r="A3285" t="inlineStr">
        <is>
          <t>A 13236-2025</t>
        </is>
      </c>
      <c r="B3285" s="1" t="n">
        <v>45735.47133101852</v>
      </c>
      <c r="C3285" s="1" t="n">
        <v>45952</v>
      </c>
      <c r="D3285" t="inlineStr">
        <is>
          <t>ÖREBRO LÄN</t>
        </is>
      </c>
      <c r="E3285" t="inlineStr">
        <is>
          <t>DEGERFORS</t>
        </is>
      </c>
      <c r="F3285" t="inlineStr">
        <is>
          <t>Sveaskog</t>
        </is>
      </c>
      <c r="G3285" t="n">
        <v>18.5</v>
      </c>
      <c r="H3285" t="n">
        <v>0</v>
      </c>
      <c r="I3285" t="n">
        <v>0</v>
      </c>
      <c r="J3285" t="n">
        <v>0</v>
      </c>
      <c r="K3285" t="n">
        <v>0</v>
      </c>
      <c r="L3285" t="n">
        <v>0</v>
      </c>
      <c r="M3285" t="n">
        <v>0</v>
      </c>
      <c r="N3285" t="n">
        <v>0</v>
      </c>
      <c r="O3285" t="n">
        <v>0</v>
      </c>
      <c r="P3285" t="n">
        <v>0</v>
      </c>
      <c r="Q3285" t="n">
        <v>0</v>
      </c>
      <c r="R3285" s="2" t="inlineStr"/>
    </row>
    <row r="3286" ht="15" customHeight="1">
      <c r="A3286" t="inlineStr">
        <is>
          <t>A 14209-2025</t>
        </is>
      </c>
      <c r="B3286" s="1" t="n">
        <v>45740.57917824074</v>
      </c>
      <c r="C3286" s="1" t="n">
        <v>45952</v>
      </c>
      <c r="D3286" t="inlineStr">
        <is>
          <t>ÖREBRO LÄN</t>
        </is>
      </c>
      <c r="E3286" t="inlineStr">
        <is>
          <t>LAXÅ</t>
        </is>
      </c>
      <c r="F3286" t="inlineStr">
        <is>
          <t>Sveaskog</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40051-2024</t>
        </is>
      </c>
      <c r="B3287" s="1" t="n">
        <v>45553</v>
      </c>
      <c r="C3287" s="1" t="n">
        <v>45952</v>
      </c>
      <c r="D3287" t="inlineStr">
        <is>
          <t>ÖREBRO LÄN</t>
        </is>
      </c>
      <c r="E3287" t="inlineStr">
        <is>
          <t>ÖREBRO</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41610-2025</t>
        </is>
      </c>
      <c r="B3288" s="1" t="n">
        <v>45901</v>
      </c>
      <c r="C3288" s="1" t="n">
        <v>45952</v>
      </c>
      <c r="D3288" t="inlineStr">
        <is>
          <t>ÖREBRO LÄN</t>
        </is>
      </c>
      <c r="E3288" t="inlineStr">
        <is>
          <t>LJUSNARSBERG</t>
        </is>
      </c>
      <c r="F3288" t="inlineStr">
        <is>
          <t>Bergvik skog väst AB</t>
        </is>
      </c>
      <c r="G3288" t="n">
        <v>1.9</v>
      </c>
      <c r="H3288" t="n">
        <v>0</v>
      </c>
      <c r="I3288" t="n">
        <v>0</v>
      </c>
      <c r="J3288" t="n">
        <v>0</v>
      </c>
      <c r="K3288" t="n">
        <v>0</v>
      </c>
      <c r="L3288" t="n">
        <v>0</v>
      </c>
      <c r="M3288" t="n">
        <v>0</v>
      </c>
      <c r="N3288" t="n">
        <v>0</v>
      </c>
      <c r="O3288" t="n">
        <v>0</v>
      </c>
      <c r="P3288" t="n">
        <v>0</v>
      </c>
      <c r="Q3288" t="n">
        <v>0</v>
      </c>
      <c r="R3288" s="2" t="inlineStr"/>
    </row>
    <row r="3289" ht="15" customHeight="1">
      <c r="A3289" t="inlineStr">
        <is>
          <t>A 3732-2023</t>
        </is>
      </c>
      <c r="B3289" s="1" t="n">
        <v>44949</v>
      </c>
      <c r="C3289" s="1" t="n">
        <v>45952</v>
      </c>
      <c r="D3289" t="inlineStr">
        <is>
          <t>ÖREBRO LÄN</t>
        </is>
      </c>
      <c r="E3289" t="inlineStr">
        <is>
          <t>LINDESBERG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26153-2025</t>
        </is>
      </c>
      <c r="B3290" s="1" t="n">
        <v>45805.43332175926</v>
      </c>
      <c r="C3290" s="1" t="n">
        <v>45952</v>
      </c>
      <c r="D3290" t="inlineStr">
        <is>
          <t>ÖREBRO LÄN</t>
        </is>
      </c>
      <c r="E3290" t="inlineStr">
        <is>
          <t>DEGERFORS</t>
        </is>
      </c>
      <c r="F3290" t="inlineStr">
        <is>
          <t>Sveaskog</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41412-2025</t>
        </is>
      </c>
      <c r="B3291" s="1" t="n">
        <v>45901.3549537037</v>
      </c>
      <c r="C3291" s="1" t="n">
        <v>45952</v>
      </c>
      <c r="D3291" t="inlineStr">
        <is>
          <t>ÖREBRO LÄN</t>
        </is>
      </c>
      <c r="E3291" t="inlineStr">
        <is>
          <t>ÖREBRO</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26198-2025</t>
        </is>
      </c>
      <c r="B3292" s="1" t="n">
        <v>45805.50146990741</v>
      </c>
      <c r="C3292" s="1" t="n">
        <v>45952</v>
      </c>
      <c r="D3292" t="inlineStr">
        <is>
          <t>ÖREBRO LÄN</t>
        </is>
      </c>
      <c r="E3292" t="inlineStr">
        <is>
          <t>ASKERSUND</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25923-2025</t>
        </is>
      </c>
      <c r="B3293" s="1" t="n">
        <v>45804</v>
      </c>
      <c r="C3293" s="1" t="n">
        <v>45952</v>
      </c>
      <c r="D3293" t="inlineStr">
        <is>
          <t>ÖREBRO LÄN</t>
        </is>
      </c>
      <c r="E3293" t="inlineStr">
        <is>
          <t>DEGERFORS</t>
        </is>
      </c>
      <c r="F3293" t="inlineStr">
        <is>
          <t>Kommuner</t>
        </is>
      </c>
      <c r="G3293" t="n">
        <v>2.7</v>
      </c>
      <c r="H3293" t="n">
        <v>0</v>
      </c>
      <c r="I3293" t="n">
        <v>0</v>
      </c>
      <c r="J3293" t="n">
        <v>0</v>
      </c>
      <c r="K3293" t="n">
        <v>0</v>
      </c>
      <c r="L3293" t="n">
        <v>0</v>
      </c>
      <c r="M3293" t="n">
        <v>0</v>
      </c>
      <c r="N3293" t="n">
        <v>0</v>
      </c>
      <c r="O3293" t="n">
        <v>0</v>
      </c>
      <c r="P3293" t="n">
        <v>0</v>
      </c>
      <c r="Q3293" t="n">
        <v>0</v>
      </c>
      <c r="R3293" s="2" t="inlineStr"/>
    </row>
    <row r="3294" ht="15" customHeight="1">
      <c r="A3294" t="inlineStr">
        <is>
          <t>A 41420-2025</t>
        </is>
      </c>
      <c r="B3294" s="1" t="n">
        <v>45898</v>
      </c>
      <c r="C3294" s="1" t="n">
        <v>45952</v>
      </c>
      <c r="D3294" t="inlineStr">
        <is>
          <t>ÖREBRO LÄN</t>
        </is>
      </c>
      <c r="E3294" t="inlineStr">
        <is>
          <t>LJUSNARSBERG</t>
        </is>
      </c>
      <c r="F3294" t="inlineStr">
        <is>
          <t>Bergvik skog väst AB</t>
        </is>
      </c>
      <c r="G3294" t="n">
        <v>18.1</v>
      </c>
      <c r="H3294" t="n">
        <v>0</v>
      </c>
      <c r="I3294" t="n">
        <v>0</v>
      </c>
      <c r="J3294" t="n">
        <v>0</v>
      </c>
      <c r="K3294" t="n">
        <v>0</v>
      </c>
      <c r="L3294" t="n">
        <v>0</v>
      </c>
      <c r="M3294" t="n">
        <v>0</v>
      </c>
      <c r="N3294" t="n">
        <v>0</v>
      </c>
      <c r="O3294" t="n">
        <v>0</v>
      </c>
      <c r="P3294" t="n">
        <v>0</v>
      </c>
      <c r="Q3294" t="n">
        <v>0</v>
      </c>
      <c r="R3294" s="2" t="inlineStr"/>
    </row>
    <row r="3295" ht="15" customHeight="1">
      <c r="A3295" t="inlineStr">
        <is>
          <t>A 55591-2023</t>
        </is>
      </c>
      <c r="B3295" s="1" t="n">
        <v>45238</v>
      </c>
      <c r="C3295" s="1" t="n">
        <v>45952</v>
      </c>
      <c r="D3295" t="inlineStr">
        <is>
          <t>ÖREBRO LÄN</t>
        </is>
      </c>
      <c r="E3295" t="inlineStr">
        <is>
          <t>ASKERSUND</t>
        </is>
      </c>
      <c r="G3295" t="n">
        <v>4</v>
      </c>
      <c r="H3295" t="n">
        <v>0</v>
      </c>
      <c r="I3295" t="n">
        <v>0</v>
      </c>
      <c r="J3295" t="n">
        <v>0</v>
      </c>
      <c r="K3295" t="n">
        <v>0</v>
      </c>
      <c r="L3295" t="n">
        <v>0</v>
      </c>
      <c r="M3295" t="n">
        <v>0</v>
      </c>
      <c r="N3295" t="n">
        <v>0</v>
      </c>
      <c r="O3295" t="n">
        <v>0</v>
      </c>
      <c r="P3295" t="n">
        <v>0</v>
      </c>
      <c r="Q3295" t="n">
        <v>0</v>
      </c>
      <c r="R3295" s="2" t="inlineStr"/>
    </row>
    <row r="3296" ht="15" customHeight="1">
      <c r="A3296" t="inlineStr">
        <is>
          <t>A 61448-2022</t>
        </is>
      </c>
      <c r="B3296" s="1" t="n">
        <v>44916</v>
      </c>
      <c r="C3296" s="1" t="n">
        <v>45952</v>
      </c>
      <c r="D3296" t="inlineStr">
        <is>
          <t>ÖREBRO LÄN</t>
        </is>
      </c>
      <c r="E3296" t="inlineStr">
        <is>
          <t>HALLSBERG</t>
        </is>
      </c>
      <c r="F3296" t="inlineStr">
        <is>
          <t>Kommuner</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4058-2022</t>
        </is>
      </c>
      <c r="B3297" s="1" t="n">
        <v>44588</v>
      </c>
      <c r="C3297" s="1" t="n">
        <v>45952</v>
      </c>
      <c r="D3297" t="inlineStr">
        <is>
          <t>ÖREBRO LÄN</t>
        </is>
      </c>
      <c r="E3297" t="inlineStr">
        <is>
          <t>KARLSKOGA</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41468-2025</t>
        </is>
      </c>
      <c r="B3298" s="1" t="n">
        <v>45896</v>
      </c>
      <c r="C3298" s="1" t="n">
        <v>45952</v>
      </c>
      <c r="D3298" t="inlineStr">
        <is>
          <t>ÖREBRO LÄN</t>
        </is>
      </c>
      <c r="E3298" t="inlineStr">
        <is>
          <t>HALLSBERG</t>
        </is>
      </c>
      <c r="G3298" t="n">
        <v>4.8</v>
      </c>
      <c r="H3298" t="n">
        <v>0</v>
      </c>
      <c r="I3298" t="n">
        <v>0</v>
      </c>
      <c r="J3298" t="n">
        <v>0</v>
      </c>
      <c r="K3298" t="n">
        <v>0</v>
      </c>
      <c r="L3298" t="n">
        <v>0</v>
      </c>
      <c r="M3298" t="n">
        <v>0</v>
      </c>
      <c r="N3298" t="n">
        <v>0</v>
      </c>
      <c r="O3298" t="n">
        <v>0</v>
      </c>
      <c r="P3298" t="n">
        <v>0</v>
      </c>
      <c r="Q3298" t="n">
        <v>0</v>
      </c>
      <c r="R3298" s="2" t="inlineStr"/>
    </row>
    <row r="3299" ht="15" customHeight="1">
      <c r="A3299" t="inlineStr">
        <is>
          <t>A 25177-2024</t>
        </is>
      </c>
      <c r="B3299" s="1" t="n">
        <v>45462.546875</v>
      </c>
      <c r="C3299" s="1" t="n">
        <v>45952</v>
      </c>
      <c r="D3299" t="inlineStr">
        <is>
          <t>ÖREBRO LÄN</t>
        </is>
      </c>
      <c r="E3299" t="inlineStr">
        <is>
          <t>DEGERFORS</t>
        </is>
      </c>
      <c r="F3299" t="inlineStr">
        <is>
          <t>Sveaskog</t>
        </is>
      </c>
      <c r="G3299" t="n">
        <v>6.5</v>
      </c>
      <c r="H3299" t="n">
        <v>0</v>
      </c>
      <c r="I3299" t="n">
        <v>0</v>
      </c>
      <c r="J3299" t="n">
        <v>0</v>
      </c>
      <c r="K3299" t="n">
        <v>0</v>
      </c>
      <c r="L3299" t="n">
        <v>0</v>
      </c>
      <c r="M3299" t="n">
        <v>0</v>
      </c>
      <c r="N3299" t="n">
        <v>0</v>
      </c>
      <c r="O3299" t="n">
        <v>0</v>
      </c>
      <c r="P3299" t="n">
        <v>0</v>
      </c>
      <c r="Q3299" t="n">
        <v>0</v>
      </c>
      <c r="R3299" s="2" t="inlineStr"/>
    </row>
    <row r="3300" ht="15" customHeight="1">
      <c r="A3300" t="inlineStr">
        <is>
          <t>A 1599-2025</t>
        </is>
      </c>
      <c r="B3300" s="1" t="n">
        <v>45670.58930555556</v>
      </c>
      <c r="C3300" s="1" t="n">
        <v>45952</v>
      </c>
      <c r="D3300" t="inlineStr">
        <is>
          <t>ÖREBRO LÄN</t>
        </is>
      </c>
      <c r="E3300" t="inlineStr">
        <is>
          <t>LEKEBERG</t>
        </is>
      </c>
      <c r="F3300" t="inlineStr">
        <is>
          <t>Allmännings- och besparingsskogar</t>
        </is>
      </c>
      <c r="G3300" t="n">
        <v>18.8</v>
      </c>
      <c r="H3300" t="n">
        <v>0</v>
      </c>
      <c r="I3300" t="n">
        <v>0</v>
      </c>
      <c r="J3300" t="n">
        <v>0</v>
      </c>
      <c r="K3300" t="n">
        <v>0</v>
      </c>
      <c r="L3300" t="n">
        <v>0</v>
      </c>
      <c r="M3300" t="n">
        <v>0</v>
      </c>
      <c r="N3300" t="n">
        <v>0</v>
      </c>
      <c r="O3300" t="n">
        <v>0</v>
      </c>
      <c r="P3300" t="n">
        <v>0</v>
      </c>
      <c r="Q3300" t="n">
        <v>0</v>
      </c>
      <c r="R3300" s="2" t="inlineStr"/>
    </row>
    <row r="3301" ht="15" customHeight="1">
      <c r="A3301" t="inlineStr">
        <is>
          <t>A 41889-2025</t>
        </is>
      </c>
      <c r="B3301" s="1" t="n">
        <v>45903.37475694445</v>
      </c>
      <c r="C3301" s="1" t="n">
        <v>45952</v>
      </c>
      <c r="D3301" t="inlineStr">
        <is>
          <t>ÖREBRO LÄN</t>
        </is>
      </c>
      <c r="E3301" t="inlineStr">
        <is>
          <t>LINDESBERG</t>
        </is>
      </c>
      <c r="F3301" t="inlineStr">
        <is>
          <t>Sveaskog</t>
        </is>
      </c>
      <c r="G3301" t="n">
        <v>7.7</v>
      </c>
      <c r="H3301" t="n">
        <v>0</v>
      </c>
      <c r="I3301" t="n">
        <v>0</v>
      </c>
      <c r="J3301" t="n">
        <v>0</v>
      </c>
      <c r="K3301" t="n">
        <v>0</v>
      </c>
      <c r="L3301" t="n">
        <v>0</v>
      </c>
      <c r="M3301" t="n">
        <v>0</v>
      </c>
      <c r="N3301" t="n">
        <v>0</v>
      </c>
      <c r="O3301" t="n">
        <v>0</v>
      </c>
      <c r="P3301" t="n">
        <v>0</v>
      </c>
      <c r="Q3301" t="n">
        <v>0</v>
      </c>
      <c r="R3301" s="2" t="inlineStr"/>
    </row>
    <row r="3302" ht="15" customHeight="1">
      <c r="A3302" t="inlineStr">
        <is>
          <t>A 25843-2025</t>
        </is>
      </c>
      <c r="B3302" s="1" t="n">
        <v>45804.45584490741</v>
      </c>
      <c r="C3302" s="1" t="n">
        <v>45952</v>
      </c>
      <c r="D3302" t="inlineStr">
        <is>
          <t>ÖREBRO LÄN</t>
        </is>
      </c>
      <c r="E3302" t="inlineStr">
        <is>
          <t>LINDESBERG</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57069-2022</t>
        </is>
      </c>
      <c r="B3303" s="1" t="n">
        <v>44895</v>
      </c>
      <c r="C3303" s="1" t="n">
        <v>45952</v>
      </c>
      <c r="D3303" t="inlineStr">
        <is>
          <t>ÖREBRO LÄN</t>
        </is>
      </c>
      <c r="E3303" t="inlineStr">
        <is>
          <t>LINDESBERG</t>
        </is>
      </c>
      <c r="G3303" t="n">
        <v>2.3</v>
      </c>
      <c r="H3303" t="n">
        <v>0</v>
      </c>
      <c r="I3303" t="n">
        <v>0</v>
      </c>
      <c r="J3303" t="n">
        <v>0</v>
      </c>
      <c r="K3303" t="n">
        <v>0</v>
      </c>
      <c r="L3303" t="n">
        <v>0</v>
      </c>
      <c r="M3303" t="n">
        <v>0</v>
      </c>
      <c r="N3303" t="n">
        <v>0</v>
      </c>
      <c r="O3303" t="n">
        <v>0</v>
      </c>
      <c r="P3303" t="n">
        <v>0</v>
      </c>
      <c r="Q3303" t="n">
        <v>0</v>
      </c>
      <c r="R3303" s="2" t="inlineStr"/>
    </row>
    <row r="3304" ht="15" customHeight="1">
      <c r="A3304" t="inlineStr">
        <is>
          <t>A 50446-2023</t>
        </is>
      </c>
      <c r="B3304" s="1" t="n">
        <v>45216</v>
      </c>
      <c r="C3304" s="1" t="n">
        <v>45952</v>
      </c>
      <c r="D3304" t="inlineStr">
        <is>
          <t>ÖREBRO LÄN</t>
        </is>
      </c>
      <c r="E3304" t="inlineStr">
        <is>
          <t>ÖREBRO</t>
        </is>
      </c>
      <c r="F3304" t="inlineStr">
        <is>
          <t>Övriga Aktiebolag</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50450-2023</t>
        </is>
      </c>
      <c r="B3305" s="1" t="n">
        <v>45216.73533564815</v>
      </c>
      <c r="C3305" s="1" t="n">
        <v>45952</v>
      </c>
      <c r="D3305" t="inlineStr">
        <is>
          <t>ÖREBRO LÄN</t>
        </is>
      </c>
      <c r="E3305" t="inlineStr">
        <is>
          <t>ÖREBRO</t>
        </is>
      </c>
      <c r="F3305" t="inlineStr">
        <is>
          <t>Övriga Aktiebolag</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45159-2023</t>
        </is>
      </c>
      <c r="B3306" s="1" t="n">
        <v>45191.49001157407</v>
      </c>
      <c r="C3306" s="1" t="n">
        <v>45952</v>
      </c>
      <c r="D3306" t="inlineStr">
        <is>
          <t>ÖREBRO LÄN</t>
        </is>
      </c>
      <c r="E3306" t="inlineStr">
        <is>
          <t>NORA</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41695-2025</t>
        </is>
      </c>
      <c r="B3307" s="1" t="n">
        <v>45902.40634259259</v>
      </c>
      <c r="C3307" s="1" t="n">
        <v>45952</v>
      </c>
      <c r="D3307" t="inlineStr">
        <is>
          <t>ÖREBRO LÄN</t>
        </is>
      </c>
      <c r="E3307" t="inlineStr">
        <is>
          <t>HALLSBERG</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36503-2021</t>
        </is>
      </c>
      <c r="B3308" s="1" t="n">
        <v>44391.40619212963</v>
      </c>
      <c r="C3308" s="1" t="n">
        <v>45952</v>
      </c>
      <c r="D3308" t="inlineStr">
        <is>
          <t>ÖREBRO LÄN</t>
        </is>
      </c>
      <c r="E3308" t="inlineStr">
        <is>
          <t>ASKERSUND</t>
        </is>
      </c>
      <c r="F3308" t="inlineStr">
        <is>
          <t>Sveaskog</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26117-2021</t>
        </is>
      </c>
      <c r="B3309" s="1" t="n">
        <v>44345</v>
      </c>
      <c r="C3309" s="1" t="n">
        <v>45952</v>
      </c>
      <c r="D3309" t="inlineStr">
        <is>
          <t>ÖREBRO LÄN</t>
        </is>
      </c>
      <c r="E3309" t="inlineStr">
        <is>
          <t>ÖREBRO</t>
        </is>
      </c>
      <c r="G3309" t="n">
        <v>8.1</v>
      </c>
      <c r="H3309" t="n">
        <v>0</v>
      </c>
      <c r="I3309" t="n">
        <v>0</v>
      </c>
      <c r="J3309" t="n">
        <v>0</v>
      </c>
      <c r="K3309" t="n">
        <v>0</v>
      </c>
      <c r="L3309" t="n">
        <v>0</v>
      </c>
      <c r="M3309" t="n">
        <v>0</v>
      </c>
      <c r="N3309" t="n">
        <v>0</v>
      </c>
      <c r="O3309" t="n">
        <v>0</v>
      </c>
      <c r="P3309" t="n">
        <v>0</v>
      </c>
      <c r="Q3309" t="n">
        <v>0</v>
      </c>
      <c r="R3309" s="2" t="inlineStr"/>
    </row>
    <row r="3310" ht="15" customHeight="1">
      <c r="A3310" t="inlineStr">
        <is>
          <t>A 44343-2022</t>
        </is>
      </c>
      <c r="B3310" s="1" t="n">
        <v>44839.67604166667</v>
      </c>
      <c r="C3310" s="1" t="n">
        <v>45952</v>
      </c>
      <c r="D3310" t="inlineStr">
        <is>
          <t>ÖREBRO LÄN</t>
        </is>
      </c>
      <c r="E3310" t="inlineStr">
        <is>
          <t>LEKEBERG</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29884-2022</t>
        </is>
      </c>
      <c r="B3311" s="1" t="n">
        <v>44756</v>
      </c>
      <c r="C3311" s="1" t="n">
        <v>45952</v>
      </c>
      <c r="D3311" t="inlineStr">
        <is>
          <t>ÖREBRO LÄN</t>
        </is>
      </c>
      <c r="E3311" t="inlineStr">
        <is>
          <t>HÄLLEFORS</t>
        </is>
      </c>
      <c r="F3311" t="inlineStr">
        <is>
          <t>Bergvik skog väst AB</t>
        </is>
      </c>
      <c r="G3311" t="n">
        <v>1</v>
      </c>
      <c r="H3311" t="n">
        <v>0</v>
      </c>
      <c r="I3311" t="n">
        <v>0</v>
      </c>
      <c r="J3311" t="n">
        <v>0</v>
      </c>
      <c r="K3311" t="n">
        <v>0</v>
      </c>
      <c r="L3311" t="n">
        <v>0</v>
      </c>
      <c r="M3311" t="n">
        <v>0</v>
      </c>
      <c r="N3311" t="n">
        <v>0</v>
      </c>
      <c r="O3311" t="n">
        <v>0</v>
      </c>
      <c r="P3311" t="n">
        <v>0</v>
      </c>
      <c r="Q3311" t="n">
        <v>0</v>
      </c>
      <c r="R3311" s="2" t="inlineStr"/>
    </row>
    <row r="3312" ht="15" customHeight="1">
      <c r="A3312" t="inlineStr">
        <is>
          <t>A 11794-2023</t>
        </is>
      </c>
      <c r="B3312" s="1" t="n">
        <v>44994</v>
      </c>
      <c r="C3312" s="1" t="n">
        <v>45952</v>
      </c>
      <c r="D3312" t="inlineStr">
        <is>
          <t>ÖREBRO LÄN</t>
        </is>
      </c>
      <c r="E3312" t="inlineStr">
        <is>
          <t>LEKEBERG</t>
        </is>
      </c>
      <c r="G3312" t="n">
        <v>7.6</v>
      </c>
      <c r="H3312" t="n">
        <v>0</v>
      </c>
      <c r="I3312" t="n">
        <v>0</v>
      </c>
      <c r="J3312" t="n">
        <v>0</v>
      </c>
      <c r="K3312" t="n">
        <v>0</v>
      </c>
      <c r="L3312" t="n">
        <v>0</v>
      </c>
      <c r="M3312" t="n">
        <v>0</v>
      </c>
      <c r="N3312" t="n">
        <v>0</v>
      </c>
      <c r="O3312" t="n">
        <v>0</v>
      </c>
      <c r="P3312" t="n">
        <v>0</v>
      </c>
      <c r="Q3312" t="n">
        <v>0</v>
      </c>
      <c r="R3312" s="2" t="inlineStr"/>
    </row>
    <row r="3313" ht="15" customHeight="1">
      <c r="A3313" t="inlineStr">
        <is>
          <t>A 26469-2025</t>
        </is>
      </c>
      <c r="B3313" s="1" t="n">
        <v>45807.45302083333</v>
      </c>
      <c r="C3313" s="1" t="n">
        <v>45952</v>
      </c>
      <c r="D3313" t="inlineStr">
        <is>
          <t>ÖREBRO LÄN</t>
        </is>
      </c>
      <c r="E3313" t="inlineStr">
        <is>
          <t>LJUSNARSBERG</t>
        </is>
      </c>
      <c r="F3313" t="inlineStr">
        <is>
          <t>Bergvik skog väst AB</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42056-2025</t>
        </is>
      </c>
      <c r="B3314" s="1" t="n">
        <v>45903.64190972222</v>
      </c>
      <c r="C3314" s="1" t="n">
        <v>45952</v>
      </c>
      <c r="D3314" t="inlineStr">
        <is>
          <t>ÖREBRO LÄN</t>
        </is>
      </c>
      <c r="E3314" t="inlineStr">
        <is>
          <t>NORA</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4067-2024</t>
        </is>
      </c>
      <c r="B3315" s="1" t="n">
        <v>45323</v>
      </c>
      <c r="C3315" s="1" t="n">
        <v>45952</v>
      </c>
      <c r="D3315" t="inlineStr">
        <is>
          <t>ÖREBRO LÄN</t>
        </is>
      </c>
      <c r="E3315" t="inlineStr">
        <is>
          <t>LINDESBERG</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38564-2022</t>
        </is>
      </c>
      <c r="B3316" s="1" t="n">
        <v>44813</v>
      </c>
      <c r="C3316" s="1" t="n">
        <v>45952</v>
      </c>
      <c r="D3316" t="inlineStr">
        <is>
          <t>ÖREBRO LÄN</t>
        </is>
      </c>
      <c r="E3316" t="inlineStr">
        <is>
          <t>LAXÅ</t>
        </is>
      </c>
      <c r="F3316" t="inlineStr">
        <is>
          <t>Sveaskog</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29500-2023</t>
        </is>
      </c>
      <c r="B3317" s="1" t="n">
        <v>45106</v>
      </c>
      <c r="C3317" s="1" t="n">
        <v>45952</v>
      </c>
      <c r="D3317" t="inlineStr">
        <is>
          <t>ÖREBRO LÄN</t>
        </is>
      </c>
      <c r="E3317" t="inlineStr">
        <is>
          <t>LINDESBERG</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32928-2023</t>
        </is>
      </c>
      <c r="B3318" s="1" t="n">
        <v>45125.41458333333</v>
      </c>
      <c r="C3318" s="1" t="n">
        <v>45952</v>
      </c>
      <c r="D3318" t="inlineStr">
        <is>
          <t>ÖREBRO LÄN</t>
        </is>
      </c>
      <c r="E3318" t="inlineStr">
        <is>
          <t>LINDESBERG</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32994-2023</t>
        </is>
      </c>
      <c r="B3319" s="1" t="n">
        <v>45113</v>
      </c>
      <c r="C3319" s="1" t="n">
        <v>45952</v>
      </c>
      <c r="D3319" t="inlineStr">
        <is>
          <t>ÖREBRO LÄN</t>
        </is>
      </c>
      <c r="E3319" t="inlineStr">
        <is>
          <t>LINDESBERG</t>
        </is>
      </c>
      <c r="G3319" t="n">
        <v>2.3</v>
      </c>
      <c r="H3319" t="n">
        <v>0</v>
      </c>
      <c r="I3319" t="n">
        <v>0</v>
      </c>
      <c r="J3319" t="n">
        <v>0</v>
      </c>
      <c r="K3319" t="n">
        <v>0</v>
      </c>
      <c r="L3319" t="n">
        <v>0</v>
      </c>
      <c r="M3319" t="n">
        <v>0</v>
      </c>
      <c r="N3319" t="n">
        <v>0</v>
      </c>
      <c r="O3319" t="n">
        <v>0</v>
      </c>
      <c r="P3319" t="n">
        <v>0</v>
      </c>
      <c r="Q3319" t="n">
        <v>0</v>
      </c>
      <c r="R3319" s="2" t="inlineStr"/>
    </row>
    <row r="3320" ht="15" customHeight="1">
      <c r="A3320" t="inlineStr">
        <is>
          <t>A 13412-2025</t>
        </is>
      </c>
      <c r="B3320" s="1" t="n">
        <v>45736.27773148148</v>
      </c>
      <c r="C3320" s="1" t="n">
        <v>45952</v>
      </c>
      <c r="D3320" t="inlineStr">
        <is>
          <t>ÖREBRO LÄN</t>
        </is>
      </c>
      <c r="E3320" t="inlineStr">
        <is>
          <t>DEGERFORS</t>
        </is>
      </c>
      <c r="F3320" t="inlineStr">
        <is>
          <t>Sveaskog</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23594-2023</t>
        </is>
      </c>
      <c r="B3321" s="1" t="n">
        <v>45077</v>
      </c>
      <c r="C3321" s="1" t="n">
        <v>45952</v>
      </c>
      <c r="D3321" t="inlineStr">
        <is>
          <t>ÖREBRO LÄN</t>
        </is>
      </c>
      <c r="E3321" t="inlineStr">
        <is>
          <t>ÖREBRO</t>
        </is>
      </c>
      <c r="G3321" t="n">
        <v>9.9</v>
      </c>
      <c r="H3321" t="n">
        <v>0</v>
      </c>
      <c r="I3321" t="n">
        <v>0</v>
      </c>
      <c r="J3321" t="n">
        <v>0</v>
      </c>
      <c r="K3321" t="n">
        <v>0</v>
      </c>
      <c r="L3321" t="n">
        <v>0</v>
      </c>
      <c r="M3321" t="n">
        <v>0</v>
      </c>
      <c r="N3321" t="n">
        <v>0</v>
      </c>
      <c r="O3321" t="n">
        <v>0</v>
      </c>
      <c r="P3321" t="n">
        <v>0</v>
      </c>
      <c r="Q3321" t="n">
        <v>0</v>
      </c>
      <c r="R3321" s="2" t="inlineStr"/>
    </row>
    <row r="3322" ht="15" customHeight="1">
      <c r="A3322" t="inlineStr">
        <is>
          <t>A 10823-2023</t>
        </is>
      </c>
      <c r="B3322" s="1" t="n">
        <v>44990</v>
      </c>
      <c r="C3322" s="1" t="n">
        <v>45952</v>
      </c>
      <c r="D3322" t="inlineStr">
        <is>
          <t>ÖREBRO LÄN</t>
        </is>
      </c>
      <c r="E3322" t="inlineStr">
        <is>
          <t>LINDESBERG</t>
        </is>
      </c>
      <c r="G3322" t="n">
        <v>1.8</v>
      </c>
      <c r="H3322" t="n">
        <v>0</v>
      </c>
      <c r="I3322" t="n">
        <v>0</v>
      </c>
      <c r="J3322" t="n">
        <v>0</v>
      </c>
      <c r="K3322" t="n">
        <v>0</v>
      </c>
      <c r="L3322" t="n">
        <v>0</v>
      </c>
      <c r="M3322" t="n">
        <v>0</v>
      </c>
      <c r="N3322" t="n">
        <v>0</v>
      </c>
      <c r="O3322" t="n">
        <v>0</v>
      </c>
      <c r="P3322" t="n">
        <v>0</v>
      </c>
      <c r="Q3322" t="n">
        <v>0</v>
      </c>
      <c r="R3322" s="2" t="inlineStr"/>
    </row>
    <row r="3323" ht="15" customHeight="1">
      <c r="A3323" t="inlineStr">
        <is>
          <t>A 3872-2023</t>
        </is>
      </c>
      <c r="B3323" s="1" t="n">
        <v>44951</v>
      </c>
      <c r="C3323" s="1" t="n">
        <v>45952</v>
      </c>
      <c r="D3323" t="inlineStr">
        <is>
          <t>ÖREBRO LÄN</t>
        </is>
      </c>
      <c r="E3323" t="inlineStr">
        <is>
          <t>KUMLA</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42050-2025</t>
        </is>
      </c>
      <c r="B3324" s="1" t="n">
        <v>45903.63047453704</v>
      </c>
      <c r="C3324" s="1" t="n">
        <v>45952</v>
      </c>
      <c r="D3324" t="inlineStr">
        <is>
          <t>ÖREBRO LÄN</t>
        </is>
      </c>
      <c r="E3324" t="inlineStr">
        <is>
          <t>NORA</t>
        </is>
      </c>
      <c r="F3324" t="inlineStr">
        <is>
          <t>Övriga Aktiebolag</t>
        </is>
      </c>
      <c r="G3324" t="n">
        <v>7</v>
      </c>
      <c r="H3324" t="n">
        <v>0</v>
      </c>
      <c r="I3324" t="n">
        <v>0</v>
      </c>
      <c r="J3324" t="n">
        <v>0</v>
      </c>
      <c r="K3324" t="n">
        <v>0</v>
      </c>
      <c r="L3324" t="n">
        <v>0</v>
      </c>
      <c r="M3324" t="n">
        <v>0</v>
      </c>
      <c r="N3324" t="n">
        <v>0</v>
      </c>
      <c r="O3324" t="n">
        <v>0</v>
      </c>
      <c r="P3324" t="n">
        <v>0</v>
      </c>
      <c r="Q3324" t="n">
        <v>0</v>
      </c>
      <c r="R3324" s="2" t="inlineStr"/>
    </row>
    <row r="3325" ht="15" customHeight="1">
      <c r="A3325" t="inlineStr">
        <is>
          <t>A 41669-2025</t>
        </is>
      </c>
      <c r="B3325" s="1" t="n">
        <v>45902.36149305556</v>
      </c>
      <c r="C3325" s="1" t="n">
        <v>45952</v>
      </c>
      <c r="D3325" t="inlineStr">
        <is>
          <t>ÖREBRO LÄN</t>
        </is>
      </c>
      <c r="E3325" t="inlineStr">
        <is>
          <t>ÖREBRO</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41939-2025</t>
        </is>
      </c>
      <c r="B3326" s="1" t="n">
        <v>45903.44396990741</v>
      </c>
      <c r="C3326" s="1" t="n">
        <v>45952</v>
      </c>
      <c r="D3326" t="inlineStr">
        <is>
          <t>ÖREBRO LÄN</t>
        </is>
      </c>
      <c r="E3326" t="inlineStr">
        <is>
          <t>NORA</t>
        </is>
      </c>
      <c r="F3326" t="inlineStr">
        <is>
          <t>Övriga Aktiebolag</t>
        </is>
      </c>
      <c r="G3326" t="n">
        <v>8.699999999999999</v>
      </c>
      <c r="H3326" t="n">
        <v>0</v>
      </c>
      <c r="I3326" t="n">
        <v>0</v>
      </c>
      <c r="J3326" t="n">
        <v>0</v>
      </c>
      <c r="K3326" t="n">
        <v>0</v>
      </c>
      <c r="L3326" t="n">
        <v>0</v>
      </c>
      <c r="M3326" t="n">
        <v>0</v>
      </c>
      <c r="N3326" t="n">
        <v>0</v>
      </c>
      <c r="O3326" t="n">
        <v>0</v>
      </c>
      <c r="P3326" t="n">
        <v>0</v>
      </c>
      <c r="Q3326" t="n">
        <v>0</v>
      </c>
      <c r="R3326" s="2" t="inlineStr"/>
    </row>
    <row r="3327" ht="15" customHeight="1">
      <c r="A3327" t="inlineStr">
        <is>
          <t>A 55787-2023</t>
        </is>
      </c>
      <c r="B3327" s="1" t="n">
        <v>45239.51128472222</v>
      </c>
      <c r="C3327" s="1" t="n">
        <v>45952</v>
      </c>
      <c r="D3327" t="inlineStr">
        <is>
          <t>ÖREBRO LÄN</t>
        </is>
      </c>
      <c r="E3327" t="inlineStr">
        <is>
          <t>LJUSNARSBERG</t>
        </is>
      </c>
      <c r="G3327" t="n">
        <v>4.6</v>
      </c>
      <c r="H3327" t="n">
        <v>0</v>
      </c>
      <c r="I3327" t="n">
        <v>0</v>
      </c>
      <c r="J3327" t="n">
        <v>0</v>
      </c>
      <c r="K3327" t="n">
        <v>0</v>
      </c>
      <c r="L3327" t="n">
        <v>0</v>
      </c>
      <c r="M3327" t="n">
        <v>0</v>
      </c>
      <c r="N3327" t="n">
        <v>0</v>
      </c>
      <c r="O3327" t="n">
        <v>0</v>
      </c>
      <c r="P3327" t="n">
        <v>0</v>
      </c>
      <c r="Q3327" t="n">
        <v>0</v>
      </c>
      <c r="R3327" s="2" t="inlineStr"/>
    </row>
    <row r="3328" ht="15" customHeight="1">
      <c r="A3328" t="inlineStr">
        <is>
          <t>A 19245-2025</t>
        </is>
      </c>
      <c r="B3328" s="1" t="n">
        <v>45769</v>
      </c>
      <c r="C3328" s="1" t="n">
        <v>45952</v>
      </c>
      <c r="D3328" t="inlineStr">
        <is>
          <t>ÖREBRO LÄN</t>
        </is>
      </c>
      <c r="E3328" t="inlineStr">
        <is>
          <t>HÄLLEFORS</t>
        </is>
      </c>
      <c r="F3328" t="inlineStr">
        <is>
          <t>Kyrkan</t>
        </is>
      </c>
      <c r="G3328" t="n">
        <v>2.7</v>
      </c>
      <c r="H3328" t="n">
        <v>0</v>
      </c>
      <c r="I3328" t="n">
        <v>0</v>
      </c>
      <c r="J3328" t="n">
        <v>0</v>
      </c>
      <c r="K3328" t="n">
        <v>0</v>
      </c>
      <c r="L3328" t="n">
        <v>0</v>
      </c>
      <c r="M3328" t="n">
        <v>0</v>
      </c>
      <c r="N3328" t="n">
        <v>0</v>
      </c>
      <c r="O3328" t="n">
        <v>0</v>
      </c>
      <c r="P3328" t="n">
        <v>0</v>
      </c>
      <c r="Q3328" t="n">
        <v>0</v>
      </c>
      <c r="R3328" s="2" t="inlineStr"/>
    </row>
    <row r="3329" ht="15" customHeight="1">
      <c r="A3329" t="inlineStr">
        <is>
          <t>A 6879-2024</t>
        </is>
      </c>
      <c r="B3329" s="1" t="n">
        <v>45342.85280092592</v>
      </c>
      <c r="C3329" s="1" t="n">
        <v>45952</v>
      </c>
      <c r="D3329" t="inlineStr">
        <is>
          <t>ÖREBRO LÄN</t>
        </is>
      </c>
      <c r="E3329" t="inlineStr">
        <is>
          <t>ÖREBRO</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41653-2025</t>
        </is>
      </c>
      <c r="B3330" s="1" t="n">
        <v>45902.3406712963</v>
      </c>
      <c r="C3330" s="1" t="n">
        <v>45952</v>
      </c>
      <c r="D3330" t="inlineStr">
        <is>
          <t>ÖREBRO LÄN</t>
        </is>
      </c>
      <c r="E3330" t="inlineStr">
        <is>
          <t>LINDESBERG</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41692-2025</t>
        </is>
      </c>
      <c r="B3331" s="1" t="n">
        <v>45902.4041087963</v>
      </c>
      <c r="C3331" s="1" t="n">
        <v>45952</v>
      </c>
      <c r="D3331" t="inlineStr">
        <is>
          <t>ÖREBRO LÄN</t>
        </is>
      </c>
      <c r="E3331" t="inlineStr">
        <is>
          <t>LEKEBERG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52442-2022</t>
        </is>
      </c>
      <c r="B3332" s="1" t="n">
        <v>44874.4575</v>
      </c>
      <c r="C3332" s="1" t="n">
        <v>45952</v>
      </c>
      <c r="D3332" t="inlineStr">
        <is>
          <t>ÖREBRO LÄN</t>
        </is>
      </c>
      <c r="E3332" t="inlineStr">
        <is>
          <t>LAXÅ</t>
        </is>
      </c>
      <c r="F3332" t="inlineStr">
        <is>
          <t>Sveaskog</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11289-2025</t>
        </is>
      </c>
      <c r="B3333" s="1" t="n">
        <v>45726.42762731481</v>
      </c>
      <c r="C3333" s="1" t="n">
        <v>45952</v>
      </c>
      <c r="D3333" t="inlineStr">
        <is>
          <t>ÖREBRO LÄN</t>
        </is>
      </c>
      <c r="E3333" t="inlineStr">
        <is>
          <t>LEKEBERG</t>
        </is>
      </c>
      <c r="F3333" t="inlineStr">
        <is>
          <t>Sveaskog</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58032-2023</t>
        </is>
      </c>
      <c r="B3334" s="1" t="n">
        <v>45247</v>
      </c>
      <c r="C3334" s="1" t="n">
        <v>45952</v>
      </c>
      <c r="D3334" t="inlineStr">
        <is>
          <t>ÖREBRO LÄN</t>
        </is>
      </c>
      <c r="E3334" t="inlineStr">
        <is>
          <t>ÖREBRO</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58035-2023</t>
        </is>
      </c>
      <c r="B3335" s="1" t="n">
        <v>45247</v>
      </c>
      <c r="C3335" s="1" t="n">
        <v>45952</v>
      </c>
      <c r="D3335" t="inlineStr">
        <is>
          <t>ÖREBRO LÄN</t>
        </is>
      </c>
      <c r="E3335" t="inlineStr">
        <is>
          <t>ÖREBRO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26820-2025</t>
        </is>
      </c>
      <c r="B3336" s="1" t="n">
        <v>45810.63664351852</v>
      </c>
      <c r="C3336" s="1" t="n">
        <v>45952</v>
      </c>
      <c r="D3336" t="inlineStr">
        <is>
          <t>ÖREBRO LÄN</t>
        </is>
      </c>
      <c r="E3336" t="inlineStr">
        <is>
          <t>DEGERFORS</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52303-2024</t>
        </is>
      </c>
      <c r="B3337" s="1" t="n">
        <v>45608.75231481482</v>
      </c>
      <c r="C3337" s="1" t="n">
        <v>45952</v>
      </c>
      <c r="D3337" t="inlineStr">
        <is>
          <t>ÖREBRO LÄN</t>
        </is>
      </c>
      <c r="E3337" t="inlineStr">
        <is>
          <t>NORA</t>
        </is>
      </c>
      <c r="G3337" t="n">
        <v>5.3</v>
      </c>
      <c r="H3337" t="n">
        <v>0</v>
      </c>
      <c r="I3337" t="n">
        <v>0</v>
      </c>
      <c r="J3337" t="n">
        <v>0</v>
      </c>
      <c r="K3337" t="n">
        <v>0</v>
      </c>
      <c r="L3337" t="n">
        <v>0</v>
      </c>
      <c r="M3337" t="n">
        <v>0</v>
      </c>
      <c r="N3337" t="n">
        <v>0</v>
      </c>
      <c r="O3337" t="n">
        <v>0</v>
      </c>
      <c r="P3337" t="n">
        <v>0</v>
      </c>
      <c r="Q3337" t="n">
        <v>0</v>
      </c>
      <c r="R3337" s="2" t="inlineStr"/>
    </row>
    <row r="3338" ht="15" customHeight="1">
      <c r="A3338" t="inlineStr">
        <is>
          <t>A 8902-2024</t>
        </is>
      </c>
      <c r="B3338" s="1" t="n">
        <v>45357.34521990741</v>
      </c>
      <c r="C3338" s="1" t="n">
        <v>45952</v>
      </c>
      <c r="D3338" t="inlineStr">
        <is>
          <t>ÖREBRO LÄN</t>
        </is>
      </c>
      <c r="E3338" t="inlineStr">
        <is>
          <t>LINDESBERG</t>
        </is>
      </c>
      <c r="F3338" t="inlineStr">
        <is>
          <t>Kommuner</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23225-2025</t>
        </is>
      </c>
      <c r="B3339" s="1" t="n">
        <v>45791</v>
      </c>
      <c r="C3339" s="1" t="n">
        <v>45952</v>
      </c>
      <c r="D3339" t="inlineStr">
        <is>
          <t>ÖREBRO LÄN</t>
        </is>
      </c>
      <c r="E3339" t="inlineStr">
        <is>
          <t>KUMLA</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45062-2022</t>
        </is>
      </c>
      <c r="B3340" s="1" t="n">
        <v>44841</v>
      </c>
      <c r="C3340" s="1" t="n">
        <v>45952</v>
      </c>
      <c r="D3340" t="inlineStr">
        <is>
          <t>ÖREBRO LÄN</t>
        </is>
      </c>
      <c r="E3340" t="inlineStr">
        <is>
          <t>LINDESBERG</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60748-2023</t>
        </is>
      </c>
      <c r="B3341" s="1" t="n">
        <v>45260</v>
      </c>
      <c r="C3341" s="1" t="n">
        <v>45952</v>
      </c>
      <c r="D3341" t="inlineStr">
        <is>
          <t>ÖREBRO LÄN</t>
        </is>
      </c>
      <c r="E3341" t="inlineStr">
        <is>
          <t>LAXÅ</t>
        </is>
      </c>
      <c r="F3341" t="inlineStr">
        <is>
          <t>Sveaskog</t>
        </is>
      </c>
      <c r="G3341" t="n">
        <v>3</v>
      </c>
      <c r="H3341" t="n">
        <v>0</v>
      </c>
      <c r="I3341" t="n">
        <v>0</v>
      </c>
      <c r="J3341" t="n">
        <v>0</v>
      </c>
      <c r="K3341" t="n">
        <v>0</v>
      </c>
      <c r="L3341" t="n">
        <v>0</v>
      </c>
      <c r="M3341" t="n">
        <v>0</v>
      </c>
      <c r="N3341" t="n">
        <v>0</v>
      </c>
      <c r="O3341" t="n">
        <v>0</v>
      </c>
      <c r="P3341" t="n">
        <v>0</v>
      </c>
      <c r="Q3341" t="n">
        <v>0</v>
      </c>
      <c r="R3341" s="2" t="inlineStr"/>
    </row>
    <row r="3342" ht="15" customHeight="1">
      <c r="A3342" t="inlineStr">
        <is>
          <t>A 41278-2024</t>
        </is>
      </c>
      <c r="B3342" s="1" t="n">
        <v>45559</v>
      </c>
      <c r="C3342" s="1" t="n">
        <v>45952</v>
      </c>
      <c r="D3342" t="inlineStr">
        <is>
          <t>ÖREBRO LÄN</t>
        </is>
      </c>
      <c r="E3342" t="inlineStr">
        <is>
          <t>HALLSBERG</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52444-2024</t>
        </is>
      </c>
      <c r="B3343" s="1" t="n">
        <v>45609.48894675926</v>
      </c>
      <c r="C3343" s="1" t="n">
        <v>45952</v>
      </c>
      <c r="D3343" t="inlineStr">
        <is>
          <t>ÖREBRO LÄN</t>
        </is>
      </c>
      <c r="E3343" t="inlineStr">
        <is>
          <t>ÖREBRO</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38908-2021</t>
        </is>
      </c>
      <c r="B3344" s="1" t="n">
        <v>44411</v>
      </c>
      <c r="C3344" s="1" t="n">
        <v>45952</v>
      </c>
      <c r="D3344" t="inlineStr">
        <is>
          <t>ÖREBRO LÄN</t>
        </is>
      </c>
      <c r="E3344" t="inlineStr">
        <is>
          <t>HÄLLEFORS</t>
        </is>
      </c>
      <c r="G3344" t="n">
        <v>3.9</v>
      </c>
      <c r="H3344" t="n">
        <v>0</v>
      </c>
      <c r="I3344" t="n">
        <v>0</v>
      </c>
      <c r="J3344" t="n">
        <v>0</v>
      </c>
      <c r="K3344" t="n">
        <v>0</v>
      </c>
      <c r="L3344" t="n">
        <v>0</v>
      </c>
      <c r="M3344" t="n">
        <v>0</v>
      </c>
      <c r="N3344" t="n">
        <v>0</v>
      </c>
      <c r="O3344" t="n">
        <v>0</v>
      </c>
      <c r="P3344" t="n">
        <v>0</v>
      </c>
      <c r="Q3344" t="n">
        <v>0</v>
      </c>
      <c r="R3344" s="2" t="inlineStr"/>
    </row>
    <row r="3345" ht="15" customHeight="1">
      <c r="A3345" t="inlineStr">
        <is>
          <t>A 6387-2021</t>
        </is>
      </c>
      <c r="B3345" s="1" t="n">
        <v>44235</v>
      </c>
      <c r="C3345" s="1" t="n">
        <v>45952</v>
      </c>
      <c r="D3345" t="inlineStr">
        <is>
          <t>ÖREBRO LÄN</t>
        </is>
      </c>
      <c r="E3345" t="inlineStr">
        <is>
          <t>ÖREBRO</t>
        </is>
      </c>
      <c r="G3345" t="n">
        <v>1.1</v>
      </c>
      <c r="H3345" t="n">
        <v>0</v>
      </c>
      <c r="I3345" t="n">
        <v>0</v>
      </c>
      <c r="J3345" t="n">
        <v>0</v>
      </c>
      <c r="K3345" t="n">
        <v>0</v>
      </c>
      <c r="L3345" t="n">
        <v>0</v>
      </c>
      <c r="M3345" t="n">
        <v>0</v>
      </c>
      <c r="N3345" t="n">
        <v>0</v>
      </c>
      <c r="O3345" t="n">
        <v>0</v>
      </c>
      <c r="P3345" t="n">
        <v>0</v>
      </c>
      <c r="Q3345" t="n">
        <v>0</v>
      </c>
      <c r="R3345" s="2" t="inlineStr"/>
    </row>
    <row r="3346" ht="15" customHeight="1">
      <c r="A3346" t="inlineStr">
        <is>
          <t>A 9073-2023</t>
        </is>
      </c>
      <c r="B3346" s="1" t="n">
        <v>44979.84893518518</v>
      </c>
      <c r="C3346" s="1" t="n">
        <v>45952</v>
      </c>
      <c r="D3346" t="inlineStr">
        <is>
          <t>ÖREBRO LÄN</t>
        </is>
      </c>
      <c r="E3346" t="inlineStr">
        <is>
          <t>HALLSBERG</t>
        </is>
      </c>
      <c r="G3346" t="n">
        <v>0.2</v>
      </c>
      <c r="H3346" t="n">
        <v>0</v>
      </c>
      <c r="I3346" t="n">
        <v>0</v>
      </c>
      <c r="J3346" t="n">
        <v>0</v>
      </c>
      <c r="K3346" t="n">
        <v>0</v>
      </c>
      <c r="L3346" t="n">
        <v>0</v>
      </c>
      <c r="M3346" t="n">
        <v>0</v>
      </c>
      <c r="N3346" t="n">
        <v>0</v>
      </c>
      <c r="O3346" t="n">
        <v>0</v>
      </c>
      <c r="P3346" t="n">
        <v>0</v>
      </c>
      <c r="Q3346" t="n">
        <v>0</v>
      </c>
      <c r="R3346" s="2" t="inlineStr"/>
    </row>
    <row r="3347" ht="15" customHeight="1">
      <c r="A3347" t="inlineStr">
        <is>
          <t>A 23221-2025</t>
        </is>
      </c>
      <c r="B3347" s="1" t="n">
        <v>45791</v>
      </c>
      <c r="C3347" s="1" t="n">
        <v>45952</v>
      </c>
      <c r="D3347" t="inlineStr">
        <is>
          <t>ÖREBRO LÄN</t>
        </is>
      </c>
      <c r="E3347" t="inlineStr">
        <is>
          <t>KUMLA</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59191-2020</t>
        </is>
      </c>
      <c r="B3348" s="1" t="n">
        <v>44147</v>
      </c>
      <c r="C3348" s="1" t="n">
        <v>45952</v>
      </c>
      <c r="D3348" t="inlineStr">
        <is>
          <t>ÖREBRO LÄN</t>
        </is>
      </c>
      <c r="E3348" t="inlineStr">
        <is>
          <t>KUMLA</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2079-2024</t>
        </is>
      </c>
      <c r="B3349" s="1" t="n">
        <v>45309</v>
      </c>
      <c r="C3349" s="1" t="n">
        <v>45952</v>
      </c>
      <c r="D3349" t="inlineStr">
        <is>
          <t>ÖREBRO LÄN</t>
        </is>
      </c>
      <c r="E3349" t="inlineStr">
        <is>
          <t>HÄLLEFORS</t>
        </is>
      </c>
      <c r="G3349" t="n">
        <v>0.4</v>
      </c>
      <c r="H3349" t="n">
        <v>0</v>
      </c>
      <c r="I3349" t="n">
        <v>0</v>
      </c>
      <c r="J3349" t="n">
        <v>0</v>
      </c>
      <c r="K3349" t="n">
        <v>0</v>
      </c>
      <c r="L3349" t="n">
        <v>0</v>
      </c>
      <c r="M3349" t="n">
        <v>0</v>
      </c>
      <c r="N3349" t="n">
        <v>0</v>
      </c>
      <c r="O3349" t="n">
        <v>0</v>
      </c>
      <c r="P3349" t="n">
        <v>0</v>
      </c>
      <c r="Q3349" t="n">
        <v>0</v>
      </c>
      <c r="R3349" s="2" t="inlineStr"/>
    </row>
    <row r="3350" ht="15" customHeight="1">
      <c r="A3350" t="inlineStr">
        <is>
          <t>A 21012-2023</t>
        </is>
      </c>
      <c r="B3350" s="1" t="n">
        <v>45061.52474537037</v>
      </c>
      <c r="C3350" s="1" t="n">
        <v>45952</v>
      </c>
      <c r="D3350" t="inlineStr">
        <is>
          <t>ÖREBRO LÄN</t>
        </is>
      </c>
      <c r="E3350" t="inlineStr">
        <is>
          <t>LINDESBERG</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21042-2023</t>
        </is>
      </c>
      <c r="B3351" s="1" t="n">
        <v>45056</v>
      </c>
      <c r="C3351" s="1" t="n">
        <v>45952</v>
      </c>
      <c r="D3351" t="inlineStr">
        <is>
          <t>ÖREBRO LÄN</t>
        </is>
      </c>
      <c r="E3351" t="inlineStr">
        <is>
          <t>LEKEBERG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41807-2025</t>
        </is>
      </c>
      <c r="B3352" s="1" t="n">
        <v>45902.64018518518</v>
      </c>
      <c r="C3352" s="1" t="n">
        <v>45952</v>
      </c>
      <c r="D3352" t="inlineStr">
        <is>
          <t>ÖREBRO LÄN</t>
        </is>
      </c>
      <c r="E3352" t="inlineStr">
        <is>
          <t>HALLSBERG</t>
        </is>
      </c>
      <c r="G3352" t="n">
        <v>5.1</v>
      </c>
      <c r="H3352" t="n">
        <v>0</v>
      </c>
      <c r="I3352" t="n">
        <v>0</v>
      </c>
      <c r="J3352" t="n">
        <v>0</v>
      </c>
      <c r="K3352" t="n">
        <v>0</v>
      </c>
      <c r="L3352" t="n">
        <v>0</v>
      </c>
      <c r="M3352" t="n">
        <v>0</v>
      </c>
      <c r="N3352" t="n">
        <v>0</v>
      </c>
      <c r="O3352" t="n">
        <v>0</v>
      </c>
      <c r="P3352" t="n">
        <v>0</v>
      </c>
      <c r="Q3352" t="n">
        <v>0</v>
      </c>
      <c r="R3352" s="2" t="inlineStr"/>
    </row>
    <row r="3353" ht="15" customHeight="1">
      <c r="A3353" t="inlineStr">
        <is>
          <t>A 22805-2023</t>
        </is>
      </c>
      <c r="B3353" s="1" t="n">
        <v>45072.3937037037</v>
      </c>
      <c r="C3353" s="1" t="n">
        <v>45952</v>
      </c>
      <c r="D3353" t="inlineStr">
        <is>
          <t>ÖREBRO LÄN</t>
        </is>
      </c>
      <c r="E3353" t="inlineStr">
        <is>
          <t>ASKERSUND</t>
        </is>
      </c>
      <c r="G3353" t="n">
        <v>3</v>
      </c>
      <c r="H3353" t="n">
        <v>0</v>
      </c>
      <c r="I3353" t="n">
        <v>0</v>
      </c>
      <c r="J3353" t="n">
        <v>0</v>
      </c>
      <c r="K3353" t="n">
        <v>0</v>
      </c>
      <c r="L3353" t="n">
        <v>0</v>
      </c>
      <c r="M3353" t="n">
        <v>0</v>
      </c>
      <c r="N3353" t="n">
        <v>0</v>
      </c>
      <c r="O3353" t="n">
        <v>0</v>
      </c>
      <c r="P3353" t="n">
        <v>0</v>
      </c>
      <c r="Q3353" t="n">
        <v>0</v>
      </c>
      <c r="R3353" s="2" t="inlineStr"/>
    </row>
    <row r="3354" ht="15" customHeight="1">
      <c r="A3354" t="inlineStr">
        <is>
          <t>A 7506-2025</t>
        </is>
      </c>
      <c r="B3354" s="1" t="n">
        <v>45705</v>
      </c>
      <c r="C3354" s="1" t="n">
        <v>45952</v>
      </c>
      <c r="D3354" t="inlineStr">
        <is>
          <t>ÖREBRO LÄN</t>
        </is>
      </c>
      <c r="E3354" t="inlineStr">
        <is>
          <t>ÖREBRO</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42802-2023</t>
        </is>
      </c>
      <c r="B3355" s="1" t="n">
        <v>45182</v>
      </c>
      <c r="C3355" s="1" t="n">
        <v>45952</v>
      </c>
      <c r="D3355" t="inlineStr">
        <is>
          <t>ÖREBRO LÄN</t>
        </is>
      </c>
      <c r="E3355" t="inlineStr">
        <is>
          <t>KARLSKOGA</t>
        </is>
      </c>
      <c r="F3355" t="inlineStr">
        <is>
          <t>Sveaskog</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56033-2022</t>
        </is>
      </c>
      <c r="B3356" s="1" t="n">
        <v>44889.5547337963</v>
      </c>
      <c r="C3356" s="1" t="n">
        <v>45952</v>
      </c>
      <c r="D3356" t="inlineStr">
        <is>
          <t>ÖREBRO LÄN</t>
        </is>
      </c>
      <c r="E3356" t="inlineStr">
        <is>
          <t>ASKERSUND</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41995-2024</t>
        </is>
      </c>
      <c r="B3357" s="1" t="n">
        <v>45561.6475462963</v>
      </c>
      <c r="C3357" s="1" t="n">
        <v>45952</v>
      </c>
      <c r="D3357" t="inlineStr">
        <is>
          <t>ÖREBRO LÄN</t>
        </is>
      </c>
      <c r="E3357" t="inlineStr">
        <is>
          <t>ÖREBRO</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17894-2025</t>
        </is>
      </c>
      <c r="B3358" s="1" t="n">
        <v>45758</v>
      </c>
      <c r="C3358" s="1" t="n">
        <v>45952</v>
      </c>
      <c r="D3358" t="inlineStr">
        <is>
          <t>ÖREBRO LÄN</t>
        </is>
      </c>
      <c r="E3358" t="inlineStr">
        <is>
          <t>ASKERSUND</t>
        </is>
      </c>
      <c r="G3358" t="n">
        <v>2.1</v>
      </c>
      <c r="H3358" t="n">
        <v>0</v>
      </c>
      <c r="I3358" t="n">
        <v>0</v>
      </c>
      <c r="J3358" t="n">
        <v>0</v>
      </c>
      <c r="K3358" t="n">
        <v>0</v>
      </c>
      <c r="L3358" t="n">
        <v>0</v>
      </c>
      <c r="M3358" t="n">
        <v>0</v>
      </c>
      <c r="N3358" t="n">
        <v>0</v>
      </c>
      <c r="O3358" t="n">
        <v>0</v>
      </c>
      <c r="P3358" t="n">
        <v>0</v>
      </c>
      <c r="Q3358" t="n">
        <v>0</v>
      </c>
      <c r="R3358" s="2" t="inlineStr"/>
    </row>
    <row r="3359" ht="15" customHeight="1">
      <c r="A3359" t="inlineStr">
        <is>
          <t>A 20673-2025</t>
        </is>
      </c>
      <c r="B3359" s="1" t="n">
        <v>45776</v>
      </c>
      <c r="C3359" s="1" t="n">
        <v>45952</v>
      </c>
      <c r="D3359" t="inlineStr">
        <is>
          <t>ÖREBRO LÄN</t>
        </is>
      </c>
      <c r="E3359" t="inlineStr">
        <is>
          <t>LJUSNARSBERG</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40305-2024</t>
        </is>
      </c>
      <c r="B3360" s="1" t="n">
        <v>45554.71863425926</v>
      </c>
      <c r="C3360" s="1" t="n">
        <v>45952</v>
      </c>
      <c r="D3360" t="inlineStr">
        <is>
          <t>ÖREBRO LÄN</t>
        </is>
      </c>
      <c r="E3360" t="inlineStr">
        <is>
          <t>LINDESBERG</t>
        </is>
      </c>
      <c r="F3360" t="inlineStr">
        <is>
          <t>Sveaskog</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40329-2024</t>
        </is>
      </c>
      <c r="B3361" s="1" t="n">
        <v>45555</v>
      </c>
      <c r="C3361" s="1" t="n">
        <v>45952</v>
      </c>
      <c r="D3361" t="inlineStr">
        <is>
          <t>ÖREBRO LÄN</t>
        </is>
      </c>
      <c r="E3361" t="inlineStr">
        <is>
          <t>LEKEBERG</t>
        </is>
      </c>
      <c r="G3361" t="n">
        <v>1.2</v>
      </c>
      <c r="H3361" t="n">
        <v>0</v>
      </c>
      <c r="I3361" t="n">
        <v>0</v>
      </c>
      <c r="J3361" t="n">
        <v>0</v>
      </c>
      <c r="K3361" t="n">
        <v>0</v>
      </c>
      <c r="L3361" t="n">
        <v>0</v>
      </c>
      <c r="M3361" t="n">
        <v>0</v>
      </c>
      <c r="N3361" t="n">
        <v>0</v>
      </c>
      <c r="O3361" t="n">
        <v>0</v>
      </c>
      <c r="P3361" t="n">
        <v>0</v>
      </c>
      <c r="Q3361" t="n">
        <v>0</v>
      </c>
      <c r="R3361" s="2" t="inlineStr"/>
    </row>
    <row r="3362" ht="15" customHeight="1">
      <c r="A3362" t="inlineStr">
        <is>
          <t>A 39031-2022</t>
        </is>
      </c>
      <c r="B3362" s="1" t="n">
        <v>44817.34144675926</v>
      </c>
      <c r="C3362" s="1" t="n">
        <v>45952</v>
      </c>
      <c r="D3362" t="inlineStr">
        <is>
          <t>ÖREBRO LÄN</t>
        </is>
      </c>
      <c r="E3362" t="inlineStr">
        <is>
          <t>HÄLLEFORS</t>
        </is>
      </c>
      <c r="F3362" t="inlineStr">
        <is>
          <t>Sveaskog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23277-2024</t>
        </is>
      </c>
      <c r="B3363" s="1" t="n">
        <v>45453.40982638889</v>
      </c>
      <c r="C3363" s="1" t="n">
        <v>45952</v>
      </c>
      <c r="D3363" t="inlineStr">
        <is>
          <t>ÖREBRO LÄN</t>
        </is>
      </c>
      <c r="E3363" t="inlineStr">
        <is>
          <t>NORA</t>
        </is>
      </c>
      <c r="G3363" t="n">
        <v>5.6</v>
      </c>
      <c r="H3363" t="n">
        <v>0</v>
      </c>
      <c r="I3363" t="n">
        <v>0</v>
      </c>
      <c r="J3363" t="n">
        <v>0</v>
      </c>
      <c r="K3363" t="n">
        <v>0</v>
      </c>
      <c r="L3363" t="n">
        <v>0</v>
      </c>
      <c r="M3363" t="n">
        <v>0</v>
      </c>
      <c r="N3363" t="n">
        <v>0</v>
      </c>
      <c r="O3363" t="n">
        <v>0</v>
      </c>
      <c r="P3363" t="n">
        <v>0</v>
      </c>
      <c r="Q3363" t="n">
        <v>0</v>
      </c>
      <c r="R3363" s="2" t="inlineStr"/>
    </row>
    <row r="3364" ht="15" customHeight="1">
      <c r="A3364" t="inlineStr">
        <is>
          <t>A 38233-2023</t>
        </is>
      </c>
      <c r="B3364" s="1" t="n">
        <v>45160</v>
      </c>
      <c r="C3364" s="1" t="n">
        <v>45952</v>
      </c>
      <c r="D3364" t="inlineStr">
        <is>
          <t>ÖREBRO LÄN</t>
        </is>
      </c>
      <c r="E3364" t="inlineStr">
        <is>
          <t>DEGERFORS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42049-2025</t>
        </is>
      </c>
      <c r="B3365" s="1" t="n">
        <v>45903.63034722222</v>
      </c>
      <c r="C3365" s="1" t="n">
        <v>45952</v>
      </c>
      <c r="D3365" t="inlineStr">
        <is>
          <t>ÖREBRO LÄN</t>
        </is>
      </c>
      <c r="E3365" t="inlineStr">
        <is>
          <t>NORA</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37723-2023</t>
        </is>
      </c>
      <c r="B3366" s="1" t="n">
        <v>45159</v>
      </c>
      <c r="C3366" s="1" t="n">
        <v>45952</v>
      </c>
      <c r="D3366" t="inlineStr">
        <is>
          <t>ÖREBRO LÄN</t>
        </is>
      </c>
      <c r="E3366" t="inlineStr">
        <is>
          <t>HALLSBERG</t>
        </is>
      </c>
      <c r="G3366" t="n">
        <v>4.1</v>
      </c>
      <c r="H3366" t="n">
        <v>0</v>
      </c>
      <c r="I3366" t="n">
        <v>0</v>
      </c>
      <c r="J3366" t="n">
        <v>0</v>
      </c>
      <c r="K3366" t="n">
        <v>0</v>
      </c>
      <c r="L3366" t="n">
        <v>0</v>
      </c>
      <c r="M3366" t="n">
        <v>0</v>
      </c>
      <c r="N3366" t="n">
        <v>0</v>
      </c>
      <c r="O3366" t="n">
        <v>0</v>
      </c>
      <c r="P3366" t="n">
        <v>0</v>
      </c>
      <c r="Q3366" t="n">
        <v>0</v>
      </c>
      <c r="R3366" s="2" t="inlineStr"/>
    </row>
    <row r="3367" ht="15" customHeight="1">
      <c r="A3367" t="inlineStr">
        <is>
          <t>A 34898-2021</t>
        </is>
      </c>
      <c r="B3367" s="1" t="n">
        <v>44383</v>
      </c>
      <c r="C3367" s="1" t="n">
        <v>45952</v>
      </c>
      <c r="D3367" t="inlineStr">
        <is>
          <t>ÖREBRO LÄN</t>
        </is>
      </c>
      <c r="E3367" t="inlineStr">
        <is>
          <t>HÄLLEFORS</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25996-2024</t>
        </is>
      </c>
      <c r="B3368" s="1" t="n">
        <v>45467.89081018518</v>
      </c>
      <c r="C3368" s="1" t="n">
        <v>45952</v>
      </c>
      <c r="D3368" t="inlineStr">
        <is>
          <t>ÖREBRO LÄN</t>
        </is>
      </c>
      <c r="E3368" t="inlineStr">
        <is>
          <t>ÖREBRO</t>
        </is>
      </c>
      <c r="G3368" t="n">
        <v>4.7</v>
      </c>
      <c r="H3368" t="n">
        <v>0</v>
      </c>
      <c r="I3368" t="n">
        <v>0</v>
      </c>
      <c r="J3368" t="n">
        <v>0</v>
      </c>
      <c r="K3368" t="n">
        <v>0</v>
      </c>
      <c r="L3368" t="n">
        <v>0</v>
      </c>
      <c r="M3368" t="n">
        <v>0</v>
      </c>
      <c r="N3368" t="n">
        <v>0</v>
      </c>
      <c r="O3368" t="n">
        <v>0</v>
      </c>
      <c r="P3368" t="n">
        <v>0</v>
      </c>
      <c r="Q3368" t="n">
        <v>0</v>
      </c>
      <c r="R3368" s="2" t="inlineStr"/>
    </row>
    <row r="3369" ht="15" customHeight="1">
      <c r="A3369" t="inlineStr">
        <is>
          <t>A 41767-2025</t>
        </is>
      </c>
      <c r="B3369" s="1" t="n">
        <v>45902.54892361111</v>
      </c>
      <c r="C3369" s="1" t="n">
        <v>45952</v>
      </c>
      <c r="D3369" t="inlineStr">
        <is>
          <t>ÖREBRO LÄN</t>
        </is>
      </c>
      <c r="E3369" t="inlineStr">
        <is>
          <t>DEGERFORS</t>
        </is>
      </c>
      <c r="F3369" t="inlineStr">
        <is>
          <t>Sveaskog</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41766-2025</t>
        </is>
      </c>
      <c r="B3370" s="1" t="n">
        <v>45902.54806712963</v>
      </c>
      <c r="C3370" s="1" t="n">
        <v>45952</v>
      </c>
      <c r="D3370" t="inlineStr">
        <is>
          <t>ÖREBRO LÄN</t>
        </is>
      </c>
      <c r="E3370" t="inlineStr">
        <is>
          <t>DEGERFORS</t>
        </is>
      </c>
      <c r="F3370" t="inlineStr">
        <is>
          <t>Sveaskog</t>
        </is>
      </c>
      <c r="G3370" t="n">
        <v>3.2</v>
      </c>
      <c r="H3370" t="n">
        <v>0</v>
      </c>
      <c r="I3370" t="n">
        <v>0</v>
      </c>
      <c r="J3370" t="n">
        <v>0</v>
      </c>
      <c r="K3370" t="n">
        <v>0</v>
      </c>
      <c r="L3370" t="n">
        <v>0</v>
      </c>
      <c r="M3370" t="n">
        <v>0</v>
      </c>
      <c r="N3370" t="n">
        <v>0</v>
      </c>
      <c r="O3370" t="n">
        <v>0</v>
      </c>
      <c r="P3370" t="n">
        <v>0</v>
      </c>
      <c r="Q3370" t="n">
        <v>0</v>
      </c>
      <c r="R3370" s="2" t="inlineStr"/>
    </row>
    <row r="3371" ht="15" customHeight="1">
      <c r="A3371" t="inlineStr">
        <is>
          <t>A 55863-2021</t>
        </is>
      </c>
      <c r="B3371" s="1" t="n">
        <v>44476</v>
      </c>
      <c r="C3371" s="1" t="n">
        <v>45952</v>
      </c>
      <c r="D3371" t="inlineStr">
        <is>
          <t>ÖREBRO LÄN</t>
        </is>
      </c>
      <c r="E3371" t="inlineStr">
        <is>
          <t>NORA</t>
        </is>
      </c>
      <c r="F3371" t="inlineStr">
        <is>
          <t>Kyrkan</t>
        </is>
      </c>
      <c r="G3371" t="n">
        <v>1.7</v>
      </c>
      <c r="H3371" t="n">
        <v>0</v>
      </c>
      <c r="I3371" t="n">
        <v>0</v>
      </c>
      <c r="J3371" t="n">
        <v>0</v>
      </c>
      <c r="K3371" t="n">
        <v>0</v>
      </c>
      <c r="L3371" t="n">
        <v>0</v>
      </c>
      <c r="M3371" t="n">
        <v>0</v>
      </c>
      <c r="N3371" t="n">
        <v>0</v>
      </c>
      <c r="O3371" t="n">
        <v>0</v>
      </c>
      <c r="P3371" t="n">
        <v>0</v>
      </c>
      <c r="Q3371" t="n">
        <v>0</v>
      </c>
      <c r="R3371" s="2" t="inlineStr"/>
    </row>
    <row r="3372" ht="15" customHeight="1">
      <c r="A3372" t="inlineStr">
        <is>
          <t>A 32211-2022</t>
        </is>
      </c>
      <c r="B3372" s="1" t="n">
        <v>44781.43078703704</v>
      </c>
      <c r="C3372" s="1" t="n">
        <v>45952</v>
      </c>
      <c r="D3372" t="inlineStr">
        <is>
          <t>ÖREBRO LÄN</t>
        </is>
      </c>
      <c r="E3372" t="inlineStr">
        <is>
          <t>DEGERFORS</t>
        </is>
      </c>
      <c r="G3372" t="n">
        <v>2.3</v>
      </c>
      <c r="H3372" t="n">
        <v>0</v>
      </c>
      <c r="I3372" t="n">
        <v>0</v>
      </c>
      <c r="J3372" t="n">
        <v>0</v>
      </c>
      <c r="K3372" t="n">
        <v>0</v>
      </c>
      <c r="L3372" t="n">
        <v>0</v>
      </c>
      <c r="M3372" t="n">
        <v>0</v>
      </c>
      <c r="N3372" t="n">
        <v>0</v>
      </c>
      <c r="O3372" t="n">
        <v>0</v>
      </c>
      <c r="P3372" t="n">
        <v>0</v>
      </c>
      <c r="Q3372" t="n">
        <v>0</v>
      </c>
      <c r="R3372" s="2" t="inlineStr"/>
    </row>
    <row r="3373" ht="15" customHeight="1">
      <c r="A3373" t="inlineStr">
        <is>
          <t>A 27947-2023</t>
        </is>
      </c>
      <c r="B3373" s="1" t="n">
        <v>45098.66921296297</v>
      </c>
      <c r="C3373" s="1" t="n">
        <v>45952</v>
      </c>
      <c r="D3373" t="inlineStr">
        <is>
          <t>ÖREBRO LÄN</t>
        </is>
      </c>
      <c r="E3373" t="inlineStr">
        <is>
          <t>LEKEBERG</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33336-2023</t>
        </is>
      </c>
      <c r="B3374" s="1" t="n">
        <v>45128.33729166666</v>
      </c>
      <c r="C3374" s="1" t="n">
        <v>45952</v>
      </c>
      <c r="D3374" t="inlineStr">
        <is>
          <t>ÖREBRO LÄN</t>
        </is>
      </c>
      <c r="E3374" t="inlineStr">
        <is>
          <t>LEKEBERG</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33337-2023</t>
        </is>
      </c>
      <c r="B3375" s="1" t="n">
        <v>45128.3400925926</v>
      </c>
      <c r="C3375" s="1" t="n">
        <v>45952</v>
      </c>
      <c r="D3375" t="inlineStr">
        <is>
          <t>ÖREBRO LÄN</t>
        </is>
      </c>
      <c r="E3375" t="inlineStr">
        <is>
          <t>LEKEBERG</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7148-2021</t>
        </is>
      </c>
      <c r="B3376" s="1" t="n">
        <v>44238</v>
      </c>
      <c r="C3376" s="1" t="n">
        <v>45952</v>
      </c>
      <c r="D3376" t="inlineStr">
        <is>
          <t>ÖREBRO LÄN</t>
        </is>
      </c>
      <c r="E3376" t="inlineStr">
        <is>
          <t>NORA</t>
        </is>
      </c>
      <c r="G3376" t="n">
        <v>2.1</v>
      </c>
      <c r="H3376" t="n">
        <v>0</v>
      </c>
      <c r="I3376" t="n">
        <v>0</v>
      </c>
      <c r="J3376" t="n">
        <v>0</v>
      </c>
      <c r="K3376" t="n">
        <v>0</v>
      </c>
      <c r="L3376" t="n">
        <v>0</v>
      </c>
      <c r="M3376" t="n">
        <v>0</v>
      </c>
      <c r="N3376" t="n">
        <v>0</v>
      </c>
      <c r="O3376" t="n">
        <v>0</v>
      </c>
      <c r="P3376" t="n">
        <v>0</v>
      </c>
      <c r="Q3376" t="n">
        <v>0</v>
      </c>
      <c r="R3376" s="2" t="inlineStr"/>
    </row>
    <row r="3377" ht="15" customHeight="1">
      <c r="A3377" t="inlineStr">
        <is>
          <t>A 41693-2025</t>
        </is>
      </c>
      <c r="B3377" s="1" t="n">
        <v>45902.40513888889</v>
      </c>
      <c r="C3377" s="1" t="n">
        <v>45952</v>
      </c>
      <c r="D3377" t="inlineStr">
        <is>
          <t>ÖREBRO LÄN</t>
        </is>
      </c>
      <c r="E3377" t="inlineStr">
        <is>
          <t>HALLSBERG</t>
        </is>
      </c>
      <c r="G3377" t="n">
        <v>2.5</v>
      </c>
      <c r="H3377" t="n">
        <v>0</v>
      </c>
      <c r="I3377" t="n">
        <v>0</v>
      </c>
      <c r="J3377" t="n">
        <v>0</v>
      </c>
      <c r="K3377" t="n">
        <v>0</v>
      </c>
      <c r="L3377" t="n">
        <v>0</v>
      </c>
      <c r="M3377" t="n">
        <v>0</v>
      </c>
      <c r="N3377" t="n">
        <v>0</v>
      </c>
      <c r="O3377" t="n">
        <v>0</v>
      </c>
      <c r="P3377" t="n">
        <v>0</v>
      </c>
      <c r="Q3377" t="n">
        <v>0</v>
      </c>
      <c r="R3377" s="2" t="inlineStr"/>
    </row>
    <row r="3378" ht="15" customHeight="1">
      <c r="A3378" t="inlineStr">
        <is>
          <t>A 19436-2025</t>
        </is>
      </c>
      <c r="B3378" s="1" t="n">
        <v>45769.98449074074</v>
      </c>
      <c r="C3378" s="1" t="n">
        <v>45952</v>
      </c>
      <c r="D3378" t="inlineStr">
        <is>
          <t>ÖREBRO LÄN</t>
        </is>
      </c>
      <c r="E3378" t="inlineStr">
        <is>
          <t>LINDESBERG</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22829-2023</t>
        </is>
      </c>
      <c r="B3379" s="1" t="n">
        <v>45072.42776620371</v>
      </c>
      <c r="C3379" s="1" t="n">
        <v>45952</v>
      </c>
      <c r="D3379" t="inlineStr">
        <is>
          <t>ÖREBRO LÄN</t>
        </is>
      </c>
      <c r="E3379" t="inlineStr">
        <is>
          <t>LINDESBERG</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13405-2024</t>
        </is>
      </c>
      <c r="B3380" s="1" t="n">
        <v>45387.44760416666</v>
      </c>
      <c r="C3380" s="1" t="n">
        <v>45952</v>
      </c>
      <c r="D3380" t="inlineStr">
        <is>
          <t>ÖREBRO LÄN</t>
        </is>
      </c>
      <c r="E3380" t="inlineStr">
        <is>
          <t>DEGERFORS</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40456-2023</t>
        </is>
      </c>
      <c r="B3381" s="1" t="n">
        <v>45170</v>
      </c>
      <c r="C3381" s="1" t="n">
        <v>45952</v>
      </c>
      <c r="D3381" t="inlineStr">
        <is>
          <t>ÖREBRO LÄN</t>
        </is>
      </c>
      <c r="E3381" t="inlineStr">
        <is>
          <t>LINDESBERG</t>
        </is>
      </c>
      <c r="F3381" t="inlineStr">
        <is>
          <t>Kyrkan</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48783-2024</t>
        </is>
      </c>
      <c r="B3382" s="1" t="n">
        <v>45593</v>
      </c>
      <c r="C3382" s="1" t="n">
        <v>45952</v>
      </c>
      <c r="D3382" t="inlineStr">
        <is>
          <t>ÖREBRO LÄN</t>
        </is>
      </c>
      <c r="E3382" t="inlineStr">
        <is>
          <t>LAXÅ</t>
        </is>
      </c>
      <c r="F3382" t="inlineStr">
        <is>
          <t>Sveaskog</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48788-2024</t>
        </is>
      </c>
      <c r="B3383" s="1" t="n">
        <v>45593</v>
      </c>
      <c r="C3383" s="1" t="n">
        <v>45952</v>
      </c>
      <c r="D3383" t="inlineStr">
        <is>
          <t>ÖREBRO LÄN</t>
        </is>
      </c>
      <c r="E3383" t="inlineStr">
        <is>
          <t>LAXÅ</t>
        </is>
      </c>
      <c r="F3383" t="inlineStr">
        <is>
          <t>Sveaskog</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48790-2024</t>
        </is>
      </c>
      <c r="B3384" s="1" t="n">
        <v>45593</v>
      </c>
      <c r="C3384" s="1" t="n">
        <v>45952</v>
      </c>
      <c r="D3384" t="inlineStr">
        <is>
          <t>ÖREBRO LÄN</t>
        </is>
      </c>
      <c r="E3384" t="inlineStr">
        <is>
          <t>LAXÅ</t>
        </is>
      </c>
      <c r="F3384" t="inlineStr">
        <is>
          <t>Sveaskog</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26653-2025</t>
        </is>
      </c>
      <c r="B3385" s="1" t="n">
        <v>45810</v>
      </c>
      <c r="C3385" s="1" t="n">
        <v>45952</v>
      </c>
      <c r="D3385" t="inlineStr">
        <is>
          <t>ÖREBRO LÄN</t>
        </is>
      </c>
      <c r="E3385" t="inlineStr">
        <is>
          <t>KARLSKOGA</t>
        </is>
      </c>
      <c r="F3385" t="inlineStr">
        <is>
          <t>Sveaskog</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26657-2025</t>
        </is>
      </c>
      <c r="B3386" s="1" t="n">
        <v>45810.39180555556</v>
      </c>
      <c r="C3386" s="1" t="n">
        <v>45952</v>
      </c>
      <c r="D3386" t="inlineStr">
        <is>
          <t>ÖREBRO LÄN</t>
        </is>
      </c>
      <c r="E3386" t="inlineStr">
        <is>
          <t>NORA</t>
        </is>
      </c>
      <c r="F3386" t="inlineStr">
        <is>
          <t>Sveaskog</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62584-2021</t>
        </is>
      </c>
      <c r="B3387" s="1" t="n">
        <v>44503.65924768519</v>
      </c>
      <c r="C3387" s="1" t="n">
        <v>45952</v>
      </c>
      <c r="D3387" t="inlineStr">
        <is>
          <t>ÖREBRO LÄN</t>
        </is>
      </c>
      <c r="E3387" t="inlineStr">
        <is>
          <t>ASKERSUND</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8571-2021</t>
        </is>
      </c>
      <c r="B3388" s="1" t="n">
        <v>44245</v>
      </c>
      <c r="C3388" s="1" t="n">
        <v>45952</v>
      </c>
      <c r="D3388" t="inlineStr">
        <is>
          <t>ÖREBRO LÄN</t>
        </is>
      </c>
      <c r="E3388" t="inlineStr">
        <is>
          <t>ÖREBRO</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52786-2023</t>
        </is>
      </c>
      <c r="B3389" s="1" t="n">
        <v>45226</v>
      </c>
      <c r="C3389" s="1" t="n">
        <v>45952</v>
      </c>
      <c r="D3389" t="inlineStr">
        <is>
          <t>ÖREBRO LÄN</t>
        </is>
      </c>
      <c r="E3389" t="inlineStr">
        <is>
          <t>ASKERSUND</t>
        </is>
      </c>
      <c r="G3389" t="n">
        <v>6</v>
      </c>
      <c r="H3389" t="n">
        <v>0</v>
      </c>
      <c r="I3389" t="n">
        <v>0</v>
      </c>
      <c r="J3389" t="n">
        <v>0</v>
      </c>
      <c r="K3389" t="n">
        <v>0</v>
      </c>
      <c r="L3389" t="n">
        <v>0</v>
      </c>
      <c r="M3389" t="n">
        <v>0</v>
      </c>
      <c r="N3389" t="n">
        <v>0</v>
      </c>
      <c r="O3389" t="n">
        <v>0</v>
      </c>
      <c r="P3389" t="n">
        <v>0</v>
      </c>
      <c r="Q3389" t="n">
        <v>0</v>
      </c>
      <c r="R3389" s="2" t="inlineStr"/>
    </row>
    <row r="3390" ht="15" customHeight="1">
      <c r="A3390" t="inlineStr">
        <is>
          <t>A 51714-2022</t>
        </is>
      </c>
      <c r="B3390" s="1" t="n">
        <v>44872.46712962963</v>
      </c>
      <c r="C3390" s="1" t="n">
        <v>45952</v>
      </c>
      <c r="D3390" t="inlineStr">
        <is>
          <t>ÖREBRO LÄN</t>
        </is>
      </c>
      <c r="E3390" t="inlineStr">
        <is>
          <t>LAXÅ</t>
        </is>
      </c>
      <c r="F3390" t="inlineStr">
        <is>
          <t>Sveaskog</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49541-2023</t>
        </is>
      </c>
      <c r="B3391" s="1" t="n">
        <v>45211</v>
      </c>
      <c r="C3391" s="1" t="n">
        <v>45952</v>
      </c>
      <c r="D3391" t="inlineStr">
        <is>
          <t>ÖREBRO LÄN</t>
        </is>
      </c>
      <c r="E3391" t="inlineStr">
        <is>
          <t>ASKERSUND</t>
        </is>
      </c>
      <c r="G3391" t="n">
        <v>5.6</v>
      </c>
      <c r="H3391" t="n">
        <v>0</v>
      </c>
      <c r="I3391" t="n">
        <v>0</v>
      </c>
      <c r="J3391" t="n">
        <v>0</v>
      </c>
      <c r="K3391" t="n">
        <v>0</v>
      </c>
      <c r="L3391" t="n">
        <v>0</v>
      </c>
      <c r="M3391" t="n">
        <v>0</v>
      </c>
      <c r="N3391" t="n">
        <v>0</v>
      </c>
      <c r="O3391" t="n">
        <v>0</v>
      </c>
      <c r="P3391" t="n">
        <v>0</v>
      </c>
      <c r="Q3391" t="n">
        <v>0</v>
      </c>
      <c r="R3391" s="2" t="inlineStr"/>
    </row>
    <row r="3392" ht="15" customHeight="1">
      <c r="A3392" t="inlineStr">
        <is>
          <t>A 42287-2025</t>
        </is>
      </c>
      <c r="B3392" s="1" t="n">
        <v>45903</v>
      </c>
      <c r="C3392" s="1" t="n">
        <v>45952</v>
      </c>
      <c r="D3392" t="inlineStr">
        <is>
          <t>ÖREBRO LÄN</t>
        </is>
      </c>
      <c r="E3392" t="inlineStr">
        <is>
          <t>LJUSNARSBERG</t>
        </is>
      </c>
      <c r="F3392" t="inlineStr">
        <is>
          <t>Bergvik skog väst AB</t>
        </is>
      </c>
      <c r="G3392" t="n">
        <v>10.3</v>
      </c>
      <c r="H3392" t="n">
        <v>0</v>
      </c>
      <c r="I3392" t="n">
        <v>0</v>
      </c>
      <c r="J3392" t="n">
        <v>0</v>
      </c>
      <c r="K3392" t="n">
        <v>0</v>
      </c>
      <c r="L3392" t="n">
        <v>0</v>
      </c>
      <c r="M3392" t="n">
        <v>0</v>
      </c>
      <c r="N3392" t="n">
        <v>0</v>
      </c>
      <c r="O3392" t="n">
        <v>0</v>
      </c>
      <c r="P3392" t="n">
        <v>0</v>
      </c>
      <c r="Q3392" t="n">
        <v>0</v>
      </c>
      <c r="R3392" s="2" t="inlineStr"/>
    </row>
    <row r="3393" ht="15" customHeight="1">
      <c r="A3393" t="inlineStr">
        <is>
          <t>A 918-2025</t>
        </is>
      </c>
      <c r="B3393" s="1" t="n">
        <v>45664</v>
      </c>
      <c r="C3393" s="1" t="n">
        <v>45952</v>
      </c>
      <c r="D3393" t="inlineStr">
        <is>
          <t>ÖREBRO LÄN</t>
        </is>
      </c>
      <c r="E3393" t="inlineStr">
        <is>
          <t>ASKERSUND</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920-2025</t>
        </is>
      </c>
      <c r="B3394" s="1" t="n">
        <v>45664</v>
      </c>
      <c r="C3394" s="1" t="n">
        <v>45952</v>
      </c>
      <c r="D3394" t="inlineStr">
        <is>
          <t>ÖREBRO LÄN</t>
        </is>
      </c>
      <c r="E3394" t="inlineStr">
        <is>
          <t>ASKERSUND</t>
        </is>
      </c>
      <c r="G3394" t="n">
        <v>12.9</v>
      </c>
      <c r="H3394" t="n">
        <v>0</v>
      </c>
      <c r="I3394" t="n">
        <v>0</v>
      </c>
      <c r="J3394" t="n">
        <v>0</v>
      </c>
      <c r="K3394" t="n">
        <v>0</v>
      </c>
      <c r="L3394" t="n">
        <v>0</v>
      </c>
      <c r="M3394" t="n">
        <v>0</v>
      </c>
      <c r="N3394" t="n">
        <v>0</v>
      </c>
      <c r="O3394" t="n">
        <v>0</v>
      </c>
      <c r="P3394" t="n">
        <v>0</v>
      </c>
      <c r="Q3394" t="n">
        <v>0</v>
      </c>
      <c r="R3394" s="2" t="inlineStr"/>
    </row>
    <row r="3395" ht="15" customHeight="1">
      <c r="A3395" t="inlineStr">
        <is>
          <t>A 42282-2024</t>
        </is>
      </c>
      <c r="B3395" s="1" t="n">
        <v>45562.61158564815</v>
      </c>
      <c r="C3395" s="1" t="n">
        <v>45952</v>
      </c>
      <c r="D3395" t="inlineStr">
        <is>
          <t>ÖREBRO LÄN</t>
        </is>
      </c>
      <c r="E3395" t="inlineStr">
        <is>
          <t>LINDESBERG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26783-2025</t>
        </is>
      </c>
      <c r="B3396" s="1" t="n">
        <v>45810.5834375</v>
      </c>
      <c r="C3396" s="1" t="n">
        <v>45952</v>
      </c>
      <c r="D3396" t="inlineStr">
        <is>
          <t>ÖREBRO LÄN</t>
        </is>
      </c>
      <c r="E3396" t="inlineStr">
        <is>
          <t>DEGERFORS</t>
        </is>
      </c>
      <c r="G3396" t="n">
        <v>2.5</v>
      </c>
      <c r="H3396" t="n">
        <v>0</v>
      </c>
      <c r="I3396" t="n">
        <v>0</v>
      </c>
      <c r="J3396" t="n">
        <v>0</v>
      </c>
      <c r="K3396" t="n">
        <v>0</v>
      </c>
      <c r="L3396" t="n">
        <v>0</v>
      </c>
      <c r="M3396" t="n">
        <v>0</v>
      </c>
      <c r="N3396" t="n">
        <v>0</v>
      </c>
      <c r="O3396" t="n">
        <v>0</v>
      </c>
      <c r="P3396" t="n">
        <v>0</v>
      </c>
      <c r="Q3396" t="n">
        <v>0</v>
      </c>
      <c r="R3396" s="2" t="inlineStr"/>
    </row>
    <row r="3397" ht="15" customHeight="1">
      <c r="A3397" t="inlineStr">
        <is>
          <t>A 6761-2025</t>
        </is>
      </c>
      <c r="B3397" s="1" t="n">
        <v>45700.62762731482</v>
      </c>
      <c r="C3397" s="1" t="n">
        <v>45952</v>
      </c>
      <c r="D3397" t="inlineStr">
        <is>
          <t>ÖREBRO LÄN</t>
        </is>
      </c>
      <c r="E3397" t="inlineStr">
        <is>
          <t>HÄLLEFORS</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37451-2023</t>
        </is>
      </c>
      <c r="B3398" s="1" t="n">
        <v>45156.70214120371</v>
      </c>
      <c r="C3398" s="1" t="n">
        <v>45952</v>
      </c>
      <c r="D3398" t="inlineStr">
        <is>
          <t>ÖREBRO LÄN</t>
        </is>
      </c>
      <c r="E3398" t="inlineStr">
        <is>
          <t>HALLSBERG</t>
        </is>
      </c>
      <c r="F3398" t="inlineStr">
        <is>
          <t>Sveaskog</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32262-2021</t>
        </is>
      </c>
      <c r="B3399" s="1" t="n">
        <v>44371.47609953704</v>
      </c>
      <c r="C3399" s="1" t="n">
        <v>45952</v>
      </c>
      <c r="D3399" t="inlineStr">
        <is>
          <t>ÖREBRO LÄN</t>
        </is>
      </c>
      <c r="E3399" t="inlineStr">
        <is>
          <t>LINDESBERG</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50794-2025</t>
        </is>
      </c>
      <c r="B3400" s="1" t="n">
        <v>45946.47722222222</v>
      </c>
      <c r="C3400" s="1" t="n">
        <v>45952</v>
      </c>
      <c r="D3400" t="inlineStr">
        <is>
          <t>ÖREBRO LÄN</t>
        </is>
      </c>
      <c r="E3400" t="inlineStr">
        <is>
          <t>HÄLLEFORS</t>
        </is>
      </c>
      <c r="F3400" t="inlineStr">
        <is>
          <t>Bergvik skog väst AB</t>
        </is>
      </c>
      <c r="G3400" t="n">
        <v>2.2</v>
      </c>
      <c r="H3400" t="n">
        <v>0</v>
      </c>
      <c r="I3400" t="n">
        <v>0</v>
      </c>
      <c r="J3400" t="n">
        <v>0</v>
      </c>
      <c r="K3400" t="n">
        <v>0</v>
      </c>
      <c r="L3400" t="n">
        <v>0</v>
      </c>
      <c r="M3400" t="n">
        <v>0</v>
      </c>
      <c r="N3400" t="n">
        <v>0</v>
      </c>
      <c r="O3400" t="n">
        <v>0</v>
      </c>
      <c r="P3400" t="n">
        <v>0</v>
      </c>
      <c r="Q3400" t="n">
        <v>0</v>
      </c>
      <c r="R3400" s="2" t="inlineStr"/>
    </row>
    <row r="3401" ht="15" customHeight="1">
      <c r="A3401" t="inlineStr">
        <is>
          <t>A 9414-2022</t>
        </is>
      </c>
      <c r="B3401" s="1" t="n">
        <v>44616.67115740741</v>
      </c>
      <c r="C3401" s="1" t="n">
        <v>45952</v>
      </c>
      <c r="D3401" t="inlineStr">
        <is>
          <t>ÖREBRO LÄN</t>
        </is>
      </c>
      <c r="E3401" t="inlineStr">
        <is>
          <t>HALLSBERG</t>
        </is>
      </c>
      <c r="F3401" t="inlineStr">
        <is>
          <t>Allmännings- och besparingsskogar</t>
        </is>
      </c>
      <c r="G3401" t="n">
        <v>8.9</v>
      </c>
      <c r="H3401" t="n">
        <v>0</v>
      </c>
      <c r="I3401" t="n">
        <v>0</v>
      </c>
      <c r="J3401" t="n">
        <v>0</v>
      </c>
      <c r="K3401" t="n">
        <v>0</v>
      </c>
      <c r="L3401" t="n">
        <v>0</v>
      </c>
      <c r="M3401" t="n">
        <v>0</v>
      </c>
      <c r="N3401" t="n">
        <v>0</v>
      </c>
      <c r="O3401" t="n">
        <v>0</v>
      </c>
      <c r="P3401" t="n">
        <v>0</v>
      </c>
      <c r="Q3401" t="n">
        <v>0</v>
      </c>
      <c r="R3401" s="2" t="inlineStr"/>
    </row>
    <row r="3402" ht="15" customHeight="1">
      <c r="A3402" t="inlineStr">
        <is>
          <t>A 26863-2025</t>
        </is>
      </c>
      <c r="B3402" s="1" t="n">
        <v>45810.69763888889</v>
      </c>
      <c r="C3402" s="1" t="n">
        <v>45952</v>
      </c>
      <c r="D3402" t="inlineStr">
        <is>
          <t>ÖREBRO LÄN</t>
        </is>
      </c>
      <c r="E3402" t="inlineStr">
        <is>
          <t>LEKEBERG</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28463-2024</t>
        </is>
      </c>
      <c r="B3403" s="1" t="n">
        <v>45477.70315972222</v>
      </c>
      <c r="C3403" s="1" t="n">
        <v>45952</v>
      </c>
      <c r="D3403" t="inlineStr">
        <is>
          <t>ÖREBRO LÄN</t>
        </is>
      </c>
      <c r="E3403" t="inlineStr">
        <is>
          <t>LINDESBERG</t>
        </is>
      </c>
      <c r="G3403" t="n">
        <v>6.3</v>
      </c>
      <c r="H3403" t="n">
        <v>0</v>
      </c>
      <c r="I3403" t="n">
        <v>0</v>
      </c>
      <c r="J3403" t="n">
        <v>0</v>
      </c>
      <c r="K3403" t="n">
        <v>0</v>
      </c>
      <c r="L3403" t="n">
        <v>0</v>
      </c>
      <c r="M3403" t="n">
        <v>0</v>
      </c>
      <c r="N3403" t="n">
        <v>0</v>
      </c>
      <c r="O3403" t="n">
        <v>0</v>
      </c>
      <c r="P3403" t="n">
        <v>0</v>
      </c>
      <c r="Q3403" t="n">
        <v>0</v>
      </c>
      <c r="R3403" s="2" t="inlineStr"/>
    </row>
    <row r="3404" ht="15" customHeight="1">
      <c r="A3404" t="inlineStr">
        <is>
          <t>A 7579-2024</t>
        </is>
      </c>
      <c r="B3404" s="1" t="n">
        <v>45348</v>
      </c>
      <c r="C3404" s="1" t="n">
        <v>45952</v>
      </c>
      <c r="D3404" t="inlineStr">
        <is>
          <t>ÖREBRO LÄN</t>
        </is>
      </c>
      <c r="E3404" t="inlineStr">
        <is>
          <t>NORA</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7611-2024</t>
        </is>
      </c>
      <c r="B3405" s="1" t="n">
        <v>45348.58864583333</v>
      </c>
      <c r="C3405" s="1" t="n">
        <v>45952</v>
      </c>
      <c r="D3405" t="inlineStr">
        <is>
          <t>ÖREBRO LÄN</t>
        </is>
      </c>
      <c r="E3405" t="inlineStr">
        <is>
          <t>ÖREBRO</t>
        </is>
      </c>
      <c r="G3405" t="n">
        <v>4.2</v>
      </c>
      <c r="H3405" t="n">
        <v>0</v>
      </c>
      <c r="I3405" t="n">
        <v>0</v>
      </c>
      <c r="J3405" t="n">
        <v>0</v>
      </c>
      <c r="K3405" t="n">
        <v>0</v>
      </c>
      <c r="L3405" t="n">
        <v>0</v>
      </c>
      <c r="M3405" t="n">
        <v>0</v>
      </c>
      <c r="N3405" t="n">
        <v>0</v>
      </c>
      <c r="O3405" t="n">
        <v>0</v>
      </c>
      <c r="P3405" t="n">
        <v>0</v>
      </c>
      <c r="Q3405" t="n">
        <v>0</v>
      </c>
      <c r="R3405" s="2" t="inlineStr"/>
    </row>
    <row r="3406" ht="15" customHeight="1">
      <c r="A3406" t="inlineStr">
        <is>
          <t>A 26842-2025</t>
        </is>
      </c>
      <c r="B3406" s="1" t="n">
        <v>45810.66016203703</v>
      </c>
      <c r="C3406" s="1" t="n">
        <v>45952</v>
      </c>
      <c r="D3406" t="inlineStr">
        <is>
          <t>ÖREBRO LÄN</t>
        </is>
      </c>
      <c r="E3406" t="inlineStr">
        <is>
          <t>HALLSBERG</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23561-2023</t>
        </is>
      </c>
      <c r="B3407" s="1" t="n">
        <v>45077.39368055556</v>
      </c>
      <c r="C3407" s="1" t="n">
        <v>45952</v>
      </c>
      <c r="D3407" t="inlineStr">
        <is>
          <t>ÖREBRO LÄN</t>
        </is>
      </c>
      <c r="E3407" t="inlineStr">
        <is>
          <t>HÄLLEFORS</t>
        </is>
      </c>
      <c r="F3407" t="inlineStr">
        <is>
          <t>Bergvik skog väst AB</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29235-2023</t>
        </is>
      </c>
      <c r="B3408" s="1" t="n">
        <v>45105.61784722222</v>
      </c>
      <c r="C3408" s="1" t="n">
        <v>45952</v>
      </c>
      <c r="D3408" t="inlineStr">
        <is>
          <t>ÖREBRO LÄN</t>
        </is>
      </c>
      <c r="E3408" t="inlineStr">
        <is>
          <t>ASKERSUND</t>
        </is>
      </c>
      <c r="G3408" t="n">
        <v>1.5</v>
      </c>
      <c r="H3408" t="n">
        <v>0</v>
      </c>
      <c r="I3408" t="n">
        <v>0</v>
      </c>
      <c r="J3408" t="n">
        <v>0</v>
      </c>
      <c r="K3408" t="n">
        <v>0</v>
      </c>
      <c r="L3408" t="n">
        <v>0</v>
      </c>
      <c r="M3408" t="n">
        <v>0</v>
      </c>
      <c r="N3408" t="n">
        <v>0</v>
      </c>
      <c r="O3408" t="n">
        <v>0</v>
      </c>
      <c r="P3408" t="n">
        <v>0</v>
      </c>
      <c r="Q3408" t="n">
        <v>0</v>
      </c>
      <c r="R3408" s="2" t="inlineStr"/>
    </row>
    <row r="3409" ht="15" customHeight="1">
      <c r="A3409" t="inlineStr">
        <is>
          <t>A 50311-2025</t>
        </is>
      </c>
      <c r="B3409" s="1" t="n">
        <v>45944</v>
      </c>
      <c r="C3409" s="1" t="n">
        <v>45952</v>
      </c>
      <c r="D3409" t="inlineStr">
        <is>
          <t>ÖREBRO LÄN</t>
        </is>
      </c>
      <c r="E3409" t="inlineStr">
        <is>
          <t>ÖREBRO</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28004-2022</t>
        </is>
      </c>
      <c r="B3410" s="1" t="n">
        <v>44746.34457175926</v>
      </c>
      <c r="C3410" s="1" t="n">
        <v>45952</v>
      </c>
      <c r="D3410" t="inlineStr">
        <is>
          <t>ÖREBRO LÄN</t>
        </is>
      </c>
      <c r="E3410" t="inlineStr">
        <is>
          <t>HÄLLEFORS</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50881-2025</t>
        </is>
      </c>
      <c r="B3411" s="1" t="n">
        <v>45946.62914351852</v>
      </c>
      <c r="C3411" s="1" t="n">
        <v>45952</v>
      </c>
      <c r="D3411" t="inlineStr">
        <is>
          <t>ÖREBRO LÄN</t>
        </is>
      </c>
      <c r="E3411" t="inlineStr">
        <is>
          <t>HÄLLEFORS</t>
        </is>
      </c>
      <c r="F3411" t="inlineStr">
        <is>
          <t>Bergvik skog väst AB</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52751-2021</t>
        </is>
      </c>
      <c r="B3412" s="1" t="n">
        <v>44467.32645833334</v>
      </c>
      <c r="C3412" s="1" t="n">
        <v>45952</v>
      </c>
      <c r="D3412" t="inlineStr">
        <is>
          <t>ÖREBRO LÄN</t>
        </is>
      </c>
      <c r="E3412" t="inlineStr">
        <is>
          <t>LAXÅ</t>
        </is>
      </c>
      <c r="F3412" t="inlineStr">
        <is>
          <t>Sveaskog</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42551-2025</t>
        </is>
      </c>
      <c r="B3413" s="1" t="n">
        <v>45905.59076388889</v>
      </c>
      <c r="C3413" s="1" t="n">
        <v>45952</v>
      </c>
      <c r="D3413" t="inlineStr">
        <is>
          <t>ÖREBRO LÄN</t>
        </is>
      </c>
      <c r="E3413" t="inlineStr">
        <is>
          <t>LAXÅ</t>
        </is>
      </c>
      <c r="F3413" t="inlineStr">
        <is>
          <t>Sveaskog</t>
        </is>
      </c>
      <c r="G3413" t="n">
        <v>10.1</v>
      </c>
      <c r="H3413" t="n">
        <v>0</v>
      </c>
      <c r="I3413" t="n">
        <v>0</v>
      </c>
      <c r="J3413" t="n">
        <v>0</v>
      </c>
      <c r="K3413" t="n">
        <v>0</v>
      </c>
      <c r="L3413" t="n">
        <v>0</v>
      </c>
      <c r="M3413" t="n">
        <v>0</v>
      </c>
      <c r="N3413" t="n">
        <v>0</v>
      </c>
      <c r="O3413" t="n">
        <v>0</v>
      </c>
      <c r="P3413" t="n">
        <v>0</v>
      </c>
      <c r="Q3413" t="n">
        <v>0</v>
      </c>
      <c r="R3413" s="2" t="inlineStr"/>
    </row>
    <row r="3414" ht="15" customHeight="1">
      <c r="A3414" t="inlineStr">
        <is>
          <t>A 42559-2025</t>
        </is>
      </c>
      <c r="B3414" s="1" t="n">
        <v>45905.59568287037</v>
      </c>
      <c r="C3414" s="1" t="n">
        <v>45952</v>
      </c>
      <c r="D3414" t="inlineStr">
        <is>
          <t>ÖREBRO LÄN</t>
        </is>
      </c>
      <c r="E3414" t="inlineStr">
        <is>
          <t>LAXÅ</t>
        </is>
      </c>
      <c r="F3414" t="inlineStr">
        <is>
          <t>Sveaskog</t>
        </is>
      </c>
      <c r="G3414" t="n">
        <v>8.199999999999999</v>
      </c>
      <c r="H3414" t="n">
        <v>0</v>
      </c>
      <c r="I3414" t="n">
        <v>0</v>
      </c>
      <c r="J3414" t="n">
        <v>0</v>
      </c>
      <c r="K3414" t="n">
        <v>0</v>
      </c>
      <c r="L3414" t="n">
        <v>0</v>
      </c>
      <c r="M3414" t="n">
        <v>0</v>
      </c>
      <c r="N3414" t="n">
        <v>0</v>
      </c>
      <c r="O3414" t="n">
        <v>0</v>
      </c>
      <c r="P3414" t="n">
        <v>0</v>
      </c>
      <c r="Q3414" t="n">
        <v>0</v>
      </c>
      <c r="R3414" s="2" t="inlineStr"/>
    </row>
    <row r="3415" ht="15" customHeight="1">
      <c r="A3415" t="inlineStr">
        <is>
          <t>A 19849-2022</t>
        </is>
      </c>
      <c r="B3415" s="1" t="n">
        <v>44696</v>
      </c>
      <c r="C3415" s="1" t="n">
        <v>45952</v>
      </c>
      <c r="D3415" t="inlineStr">
        <is>
          <t>ÖREBRO LÄN</t>
        </is>
      </c>
      <c r="E3415" t="inlineStr">
        <is>
          <t>HALLSBERG</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42561-2025</t>
        </is>
      </c>
      <c r="B3416" s="1" t="n">
        <v>45905.59783564815</v>
      </c>
      <c r="C3416" s="1" t="n">
        <v>45952</v>
      </c>
      <c r="D3416" t="inlineStr">
        <is>
          <t>ÖREBRO LÄN</t>
        </is>
      </c>
      <c r="E3416" t="inlineStr">
        <is>
          <t>LAXÅ</t>
        </is>
      </c>
      <c r="F3416" t="inlineStr">
        <is>
          <t>Sveaskog</t>
        </is>
      </c>
      <c r="G3416" t="n">
        <v>8.199999999999999</v>
      </c>
      <c r="H3416" t="n">
        <v>0</v>
      </c>
      <c r="I3416" t="n">
        <v>0</v>
      </c>
      <c r="J3416" t="n">
        <v>0</v>
      </c>
      <c r="K3416" t="n">
        <v>0</v>
      </c>
      <c r="L3416" t="n">
        <v>0</v>
      </c>
      <c r="M3416" t="n">
        <v>0</v>
      </c>
      <c r="N3416" t="n">
        <v>0</v>
      </c>
      <c r="O3416" t="n">
        <v>0</v>
      </c>
      <c r="P3416" t="n">
        <v>0</v>
      </c>
      <c r="Q3416" t="n">
        <v>0</v>
      </c>
      <c r="R3416" s="2" t="inlineStr"/>
    </row>
    <row r="3417" ht="15" customHeight="1">
      <c r="A3417" t="inlineStr">
        <is>
          <t>A 27576-2024</t>
        </is>
      </c>
      <c r="B3417" s="1" t="n">
        <v>45474.65005787037</v>
      </c>
      <c r="C3417" s="1" t="n">
        <v>45952</v>
      </c>
      <c r="D3417" t="inlineStr">
        <is>
          <t>ÖREBRO LÄN</t>
        </is>
      </c>
      <c r="E3417" t="inlineStr">
        <is>
          <t>LINDESBERG</t>
        </is>
      </c>
      <c r="F3417" t="inlineStr">
        <is>
          <t>Kyrkan</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27577-2024</t>
        </is>
      </c>
      <c r="B3418" s="1" t="n">
        <v>45474.65008101852</v>
      </c>
      <c r="C3418" s="1" t="n">
        <v>45952</v>
      </c>
      <c r="D3418" t="inlineStr">
        <is>
          <t>ÖREBRO LÄN</t>
        </is>
      </c>
      <c r="E3418" t="inlineStr">
        <is>
          <t>NORA</t>
        </is>
      </c>
      <c r="F3418" t="inlineStr">
        <is>
          <t>Sveaskog</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52353-2024</t>
        </is>
      </c>
      <c r="B3419" s="1" t="n">
        <v>45609.36297453703</v>
      </c>
      <c r="C3419" s="1" t="n">
        <v>45952</v>
      </c>
      <c r="D3419" t="inlineStr">
        <is>
          <t>ÖREBRO LÄN</t>
        </is>
      </c>
      <c r="E3419" t="inlineStr">
        <is>
          <t>LAXÅ</t>
        </is>
      </c>
      <c r="F3419" t="inlineStr">
        <is>
          <t>Sveaskog</t>
        </is>
      </c>
      <c r="G3419" t="n">
        <v>2.9</v>
      </c>
      <c r="H3419" t="n">
        <v>0</v>
      </c>
      <c r="I3419" t="n">
        <v>0</v>
      </c>
      <c r="J3419" t="n">
        <v>0</v>
      </c>
      <c r="K3419" t="n">
        <v>0</v>
      </c>
      <c r="L3419" t="n">
        <v>0</v>
      </c>
      <c r="M3419" t="n">
        <v>0</v>
      </c>
      <c r="N3419" t="n">
        <v>0</v>
      </c>
      <c r="O3419" t="n">
        <v>0</v>
      </c>
      <c r="P3419" t="n">
        <v>0</v>
      </c>
      <c r="Q3419" t="n">
        <v>0</v>
      </c>
      <c r="R3419" s="2" t="inlineStr"/>
    </row>
    <row r="3420" ht="15" customHeight="1">
      <c r="A3420" t="inlineStr">
        <is>
          <t>A 42197-2025</t>
        </is>
      </c>
      <c r="B3420" s="1" t="n">
        <v>45904.48486111111</v>
      </c>
      <c r="C3420" s="1" t="n">
        <v>45952</v>
      </c>
      <c r="D3420" t="inlineStr">
        <is>
          <t>ÖREBRO LÄN</t>
        </is>
      </c>
      <c r="E3420" t="inlineStr">
        <is>
          <t>LEKEBERG</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31240-2023</t>
        </is>
      </c>
      <c r="B3421" s="1" t="n">
        <v>45114</v>
      </c>
      <c r="C3421" s="1" t="n">
        <v>45952</v>
      </c>
      <c r="D3421" t="inlineStr">
        <is>
          <t>ÖREBRO LÄN</t>
        </is>
      </c>
      <c r="E3421" t="inlineStr">
        <is>
          <t>ÖREBRO</t>
        </is>
      </c>
      <c r="F3421" t="inlineStr">
        <is>
          <t>Allmännings- och besparingsskogar</t>
        </is>
      </c>
      <c r="G3421" t="n">
        <v>6.2</v>
      </c>
      <c r="H3421" t="n">
        <v>0</v>
      </c>
      <c r="I3421" t="n">
        <v>0</v>
      </c>
      <c r="J3421" t="n">
        <v>0</v>
      </c>
      <c r="K3421" t="n">
        <v>0</v>
      </c>
      <c r="L3421" t="n">
        <v>0</v>
      </c>
      <c r="M3421" t="n">
        <v>0</v>
      </c>
      <c r="N3421" t="n">
        <v>0</v>
      </c>
      <c r="O3421" t="n">
        <v>0</v>
      </c>
      <c r="P3421" t="n">
        <v>0</v>
      </c>
      <c r="Q3421" t="n">
        <v>0</v>
      </c>
      <c r="R3421" s="2" t="inlineStr"/>
    </row>
    <row r="3422" ht="15" customHeight="1">
      <c r="A3422" t="inlineStr">
        <is>
          <t>A 32099-2024</t>
        </is>
      </c>
      <c r="B3422" s="1" t="n">
        <v>45511.40297453704</v>
      </c>
      <c r="C3422" s="1" t="n">
        <v>45952</v>
      </c>
      <c r="D3422" t="inlineStr">
        <is>
          <t>ÖREBRO LÄN</t>
        </is>
      </c>
      <c r="E3422" t="inlineStr">
        <is>
          <t>LINDESBERG</t>
        </is>
      </c>
      <c r="G3422" t="n">
        <v>2.3</v>
      </c>
      <c r="H3422" t="n">
        <v>0</v>
      </c>
      <c r="I3422" t="n">
        <v>0</v>
      </c>
      <c r="J3422" t="n">
        <v>0</v>
      </c>
      <c r="K3422" t="n">
        <v>0</v>
      </c>
      <c r="L3422" t="n">
        <v>0</v>
      </c>
      <c r="M3422" t="n">
        <v>0</v>
      </c>
      <c r="N3422" t="n">
        <v>0</v>
      </c>
      <c r="O3422" t="n">
        <v>0</v>
      </c>
      <c r="P3422" t="n">
        <v>0</v>
      </c>
      <c r="Q3422" t="n">
        <v>0</v>
      </c>
      <c r="R3422" s="2" t="inlineStr"/>
    </row>
    <row r="3423" ht="15" customHeight="1">
      <c r="A3423" t="inlineStr">
        <is>
          <t>A 54511-2023</t>
        </is>
      </c>
      <c r="B3423" s="1" t="n">
        <v>45233.5592824074</v>
      </c>
      <c r="C3423" s="1" t="n">
        <v>45952</v>
      </c>
      <c r="D3423" t="inlineStr">
        <is>
          <t>ÖREBRO LÄN</t>
        </is>
      </c>
      <c r="E3423" t="inlineStr">
        <is>
          <t>LAXÅ</t>
        </is>
      </c>
      <c r="F3423" t="inlineStr">
        <is>
          <t>Övriga statliga verk och myndigheter</t>
        </is>
      </c>
      <c r="G3423" t="n">
        <v>2.9</v>
      </c>
      <c r="H3423" t="n">
        <v>0</v>
      </c>
      <c r="I3423" t="n">
        <v>0</v>
      </c>
      <c r="J3423" t="n">
        <v>0</v>
      </c>
      <c r="K3423" t="n">
        <v>0</v>
      </c>
      <c r="L3423" t="n">
        <v>0</v>
      </c>
      <c r="M3423" t="n">
        <v>0</v>
      </c>
      <c r="N3423" t="n">
        <v>0</v>
      </c>
      <c r="O3423" t="n">
        <v>0</v>
      </c>
      <c r="P3423" t="n">
        <v>0</v>
      </c>
      <c r="Q3423" t="n">
        <v>0</v>
      </c>
      <c r="R3423" s="2" t="inlineStr"/>
    </row>
    <row r="3424" ht="15" customHeight="1">
      <c r="A3424" t="inlineStr">
        <is>
          <t>A 67953-2021</t>
        </is>
      </c>
      <c r="B3424" s="1" t="n">
        <v>44525.63929398148</v>
      </c>
      <c r="C3424" s="1" t="n">
        <v>45952</v>
      </c>
      <c r="D3424" t="inlineStr">
        <is>
          <t>ÖREBRO LÄN</t>
        </is>
      </c>
      <c r="E3424" t="inlineStr">
        <is>
          <t>HÄLLEFORS</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42161-2025</t>
        </is>
      </c>
      <c r="B3425" s="1" t="n">
        <v>45904.41351851852</v>
      </c>
      <c r="C3425" s="1" t="n">
        <v>45952</v>
      </c>
      <c r="D3425" t="inlineStr">
        <is>
          <t>ÖREBRO LÄN</t>
        </is>
      </c>
      <c r="E3425" t="inlineStr">
        <is>
          <t>ASKERSUND</t>
        </is>
      </c>
      <c r="G3425" t="n">
        <v>3.9</v>
      </c>
      <c r="H3425" t="n">
        <v>0</v>
      </c>
      <c r="I3425" t="n">
        <v>0</v>
      </c>
      <c r="J3425" t="n">
        <v>0</v>
      </c>
      <c r="K3425" t="n">
        <v>0</v>
      </c>
      <c r="L3425" t="n">
        <v>0</v>
      </c>
      <c r="M3425" t="n">
        <v>0</v>
      </c>
      <c r="N3425" t="n">
        <v>0</v>
      </c>
      <c r="O3425" t="n">
        <v>0</v>
      </c>
      <c r="P3425" t="n">
        <v>0</v>
      </c>
      <c r="Q3425" t="n">
        <v>0</v>
      </c>
      <c r="R3425" s="2" t="inlineStr"/>
    </row>
    <row r="3426" ht="15" customHeight="1">
      <c r="A3426" t="inlineStr">
        <is>
          <t>A 14717-2024</t>
        </is>
      </c>
      <c r="B3426" s="1" t="n">
        <v>45397.55104166667</v>
      </c>
      <c r="C3426" s="1" t="n">
        <v>45952</v>
      </c>
      <c r="D3426" t="inlineStr">
        <is>
          <t>ÖREBRO LÄN</t>
        </is>
      </c>
      <c r="E3426" t="inlineStr">
        <is>
          <t>ÖREBRO</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51088-2022</t>
        </is>
      </c>
      <c r="B3427" s="1" t="n">
        <v>44868.3935300926</v>
      </c>
      <c r="C3427" s="1" t="n">
        <v>45952</v>
      </c>
      <c r="D3427" t="inlineStr">
        <is>
          <t>ÖREBRO LÄN</t>
        </is>
      </c>
      <c r="E3427" t="inlineStr">
        <is>
          <t>HÄLLEFORS</t>
        </is>
      </c>
      <c r="F3427" t="inlineStr">
        <is>
          <t>Bergvik skog väst AB</t>
        </is>
      </c>
      <c r="G3427" t="n">
        <v>3.1</v>
      </c>
      <c r="H3427" t="n">
        <v>0</v>
      </c>
      <c r="I3427" t="n">
        <v>0</v>
      </c>
      <c r="J3427" t="n">
        <v>0</v>
      </c>
      <c r="K3427" t="n">
        <v>0</v>
      </c>
      <c r="L3427" t="n">
        <v>0</v>
      </c>
      <c r="M3427" t="n">
        <v>0</v>
      </c>
      <c r="N3427" t="n">
        <v>0</v>
      </c>
      <c r="O3427" t="n">
        <v>0</v>
      </c>
      <c r="P3427" t="n">
        <v>0</v>
      </c>
      <c r="Q3427" t="n">
        <v>0</v>
      </c>
      <c r="R3427" s="2" t="inlineStr"/>
    </row>
    <row r="3428" ht="15" customHeight="1">
      <c r="A3428" t="inlineStr">
        <is>
          <t>A 50957-2025</t>
        </is>
      </c>
      <c r="B3428" s="1" t="n">
        <v>45946.78399305556</v>
      </c>
      <c r="C3428" s="1" t="n">
        <v>45952</v>
      </c>
      <c r="D3428" t="inlineStr">
        <is>
          <t>ÖREBRO LÄN</t>
        </is>
      </c>
      <c r="E3428" t="inlineStr">
        <is>
          <t>KARLSKOGA</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50980-2025</t>
        </is>
      </c>
      <c r="B3429" s="1" t="n">
        <v>45947.33725694445</v>
      </c>
      <c r="C3429" s="1" t="n">
        <v>45952</v>
      </c>
      <c r="D3429" t="inlineStr">
        <is>
          <t>ÖREBRO LÄN</t>
        </is>
      </c>
      <c r="E3429" t="inlineStr">
        <is>
          <t>HALLSBERG</t>
        </is>
      </c>
      <c r="F3429" t="inlineStr">
        <is>
          <t>Sveaskog</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42281-2025</t>
        </is>
      </c>
      <c r="B3430" s="1" t="n">
        <v>45904.61800925926</v>
      </c>
      <c r="C3430" s="1" t="n">
        <v>45952</v>
      </c>
      <c r="D3430" t="inlineStr">
        <is>
          <t>ÖREBRO LÄN</t>
        </is>
      </c>
      <c r="E3430" t="inlineStr">
        <is>
          <t>ASKERSUND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42295-2025</t>
        </is>
      </c>
      <c r="B3431" s="1" t="n">
        <v>45904.63057870371</v>
      </c>
      <c r="C3431" s="1" t="n">
        <v>45952</v>
      </c>
      <c r="D3431" t="inlineStr">
        <is>
          <t>ÖREBRO LÄN</t>
        </is>
      </c>
      <c r="E3431" t="inlineStr">
        <is>
          <t>LEKEBERG</t>
        </is>
      </c>
      <c r="G3431" t="n">
        <v>3.7</v>
      </c>
      <c r="H3431" t="n">
        <v>0</v>
      </c>
      <c r="I3431" t="n">
        <v>0</v>
      </c>
      <c r="J3431" t="n">
        <v>0</v>
      </c>
      <c r="K3431" t="n">
        <v>0</v>
      </c>
      <c r="L3431" t="n">
        <v>0</v>
      </c>
      <c r="M3431" t="n">
        <v>0</v>
      </c>
      <c r="N3431" t="n">
        <v>0</v>
      </c>
      <c r="O3431" t="n">
        <v>0</v>
      </c>
      <c r="P3431" t="n">
        <v>0</v>
      </c>
      <c r="Q3431" t="n">
        <v>0</v>
      </c>
      <c r="R3431" s="2" t="inlineStr"/>
    </row>
    <row r="3432" ht="15" customHeight="1">
      <c r="A3432" t="inlineStr">
        <is>
          <t>A 51245-2025</t>
        </is>
      </c>
      <c r="B3432" s="1" t="n">
        <v>45947.80872685185</v>
      </c>
      <c r="C3432" s="1" t="n">
        <v>45952</v>
      </c>
      <c r="D3432" t="inlineStr">
        <is>
          <t>ÖREBRO LÄN</t>
        </is>
      </c>
      <c r="E3432" t="inlineStr">
        <is>
          <t>NORA</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51246-2025</t>
        </is>
      </c>
      <c r="B3433" s="1" t="n">
        <v>45947.81226851852</v>
      </c>
      <c r="C3433" s="1" t="n">
        <v>45952</v>
      </c>
      <c r="D3433" t="inlineStr">
        <is>
          <t>ÖREBRO LÄN</t>
        </is>
      </c>
      <c r="E3433" t="inlineStr">
        <is>
          <t>NORA</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58829-2023</t>
        </is>
      </c>
      <c r="B3434" s="1" t="n">
        <v>45252</v>
      </c>
      <c r="C3434" s="1" t="n">
        <v>45952</v>
      </c>
      <c r="D3434" t="inlineStr">
        <is>
          <t>ÖREBRO LÄN</t>
        </is>
      </c>
      <c r="E3434" t="inlineStr">
        <is>
          <t>NORA</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8836-2023</t>
        </is>
      </c>
      <c r="B3435" s="1" t="n">
        <v>44978</v>
      </c>
      <c r="C3435" s="1" t="n">
        <v>45952</v>
      </c>
      <c r="D3435" t="inlineStr">
        <is>
          <t>ÖREBRO LÄN</t>
        </is>
      </c>
      <c r="E3435" t="inlineStr">
        <is>
          <t>LINDESBERG</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58935-2023</t>
        </is>
      </c>
      <c r="B3436" s="1" t="n">
        <v>45250</v>
      </c>
      <c r="C3436" s="1" t="n">
        <v>45952</v>
      </c>
      <c r="D3436" t="inlineStr">
        <is>
          <t>ÖREBRO LÄN</t>
        </is>
      </c>
      <c r="E3436" t="inlineStr">
        <is>
          <t>LEKEBERG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50958-2025</t>
        </is>
      </c>
      <c r="B3437" s="1" t="n">
        <v>45946.78709490741</v>
      </c>
      <c r="C3437" s="1" t="n">
        <v>45952</v>
      </c>
      <c r="D3437" t="inlineStr">
        <is>
          <t>ÖREBRO LÄN</t>
        </is>
      </c>
      <c r="E3437" t="inlineStr">
        <is>
          <t>KARLSKOGA</t>
        </is>
      </c>
      <c r="G3437" t="n">
        <v>0.4</v>
      </c>
      <c r="H3437" t="n">
        <v>0</v>
      </c>
      <c r="I3437" t="n">
        <v>0</v>
      </c>
      <c r="J3437" t="n">
        <v>0</v>
      </c>
      <c r="K3437" t="n">
        <v>0</v>
      </c>
      <c r="L3437" t="n">
        <v>0</v>
      </c>
      <c r="M3437" t="n">
        <v>0</v>
      </c>
      <c r="N3437" t="n">
        <v>0</v>
      </c>
      <c r="O3437" t="n">
        <v>0</v>
      </c>
      <c r="P3437" t="n">
        <v>0</v>
      </c>
      <c r="Q3437" t="n">
        <v>0</v>
      </c>
      <c r="R3437" s="2" t="inlineStr"/>
    </row>
    <row r="3438" ht="15" customHeight="1">
      <c r="A3438" t="inlineStr">
        <is>
          <t>A 3309-2024</t>
        </is>
      </c>
      <c r="B3438" s="1" t="n">
        <v>45317</v>
      </c>
      <c r="C3438" s="1" t="n">
        <v>45952</v>
      </c>
      <c r="D3438" t="inlineStr">
        <is>
          <t>ÖREBRO LÄN</t>
        </is>
      </c>
      <c r="E3438" t="inlineStr">
        <is>
          <t>NORA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46198-2023</t>
        </is>
      </c>
      <c r="B3439" s="1" t="n">
        <v>45196</v>
      </c>
      <c r="C3439" s="1" t="n">
        <v>45952</v>
      </c>
      <c r="D3439" t="inlineStr">
        <is>
          <t>ÖREBRO LÄN</t>
        </is>
      </c>
      <c r="E3439" t="inlineStr">
        <is>
          <t>NORA</t>
        </is>
      </c>
      <c r="G3439" t="n">
        <v>8.800000000000001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28471-2023</t>
        </is>
      </c>
      <c r="B3440" s="1" t="n">
        <v>45103.41175925926</v>
      </c>
      <c r="C3440" s="1" t="n">
        <v>45952</v>
      </c>
      <c r="D3440" t="inlineStr">
        <is>
          <t>ÖREBRO LÄN</t>
        </is>
      </c>
      <c r="E3440" t="inlineStr">
        <is>
          <t>KARLSKOGA</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26868-2025</t>
        </is>
      </c>
      <c r="B3441" s="1" t="n">
        <v>45810</v>
      </c>
      <c r="C3441" s="1" t="n">
        <v>45952</v>
      </c>
      <c r="D3441" t="inlineStr">
        <is>
          <t>ÖREBRO LÄN</t>
        </is>
      </c>
      <c r="E3441" t="inlineStr">
        <is>
          <t>ASKERSUND</t>
        </is>
      </c>
      <c r="F3441" t="inlineStr">
        <is>
          <t>Sveaskog</t>
        </is>
      </c>
      <c r="G3441" t="n">
        <v>3.9</v>
      </c>
      <c r="H3441" t="n">
        <v>0</v>
      </c>
      <c r="I3441" t="n">
        <v>0</v>
      </c>
      <c r="J3441" t="n">
        <v>0</v>
      </c>
      <c r="K3441" t="n">
        <v>0</v>
      </c>
      <c r="L3441" t="n">
        <v>0</v>
      </c>
      <c r="M3441" t="n">
        <v>0</v>
      </c>
      <c r="N3441" t="n">
        <v>0</v>
      </c>
      <c r="O3441" t="n">
        <v>0</v>
      </c>
      <c r="P3441" t="n">
        <v>0</v>
      </c>
      <c r="Q3441" t="n">
        <v>0</v>
      </c>
      <c r="R3441" s="2" t="inlineStr"/>
    </row>
    <row r="3442" ht="15" customHeight="1">
      <c r="A3442" t="inlineStr">
        <is>
          <t>A 50700-2025</t>
        </is>
      </c>
      <c r="B3442" s="1" t="n">
        <v>45945.99771990741</v>
      </c>
      <c r="C3442" s="1" t="n">
        <v>45952</v>
      </c>
      <c r="D3442" t="inlineStr">
        <is>
          <t>ÖREBRO LÄN</t>
        </is>
      </c>
      <c r="E3442" t="inlineStr">
        <is>
          <t>LAXÅ</t>
        </is>
      </c>
      <c r="F3442" t="inlineStr">
        <is>
          <t>Sveaskog</t>
        </is>
      </c>
      <c r="G3442" t="n">
        <v>6.3</v>
      </c>
      <c r="H3442" t="n">
        <v>0</v>
      </c>
      <c r="I3442" t="n">
        <v>0</v>
      </c>
      <c r="J3442" t="n">
        <v>0</v>
      </c>
      <c r="K3442" t="n">
        <v>0</v>
      </c>
      <c r="L3442" t="n">
        <v>0</v>
      </c>
      <c r="M3442" t="n">
        <v>0</v>
      </c>
      <c r="N3442" t="n">
        <v>0</v>
      </c>
      <c r="O3442" t="n">
        <v>0</v>
      </c>
      <c r="P3442" t="n">
        <v>0</v>
      </c>
      <c r="Q3442" t="n">
        <v>0</v>
      </c>
      <c r="R3442" s="2" t="inlineStr"/>
    </row>
    <row r="3443" ht="15" customHeight="1">
      <c r="A3443" t="inlineStr">
        <is>
          <t>A 50701-2025</t>
        </is>
      </c>
      <c r="B3443" s="1" t="n">
        <v>45945.99828703704</v>
      </c>
      <c r="C3443" s="1" t="n">
        <v>45952</v>
      </c>
      <c r="D3443" t="inlineStr">
        <is>
          <t>ÖREBRO LÄN</t>
        </is>
      </c>
      <c r="E3443" t="inlineStr">
        <is>
          <t>LAXÅ</t>
        </is>
      </c>
      <c r="F3443" t="inlineStr">
        <is>
          <t>Sveaskog</t>
        </is>
      </c>
      <c r="G3443" t="n">
        <v>3.7</v>
      </c>
      <c r="H3443" t="n">
        <v>0</v>
      </c>
      <c r="I3443" t="n">
        <v>0</v>
      </c>
      <c r="J3443" t="n">
        <v>0</v>
      </c>
      <c r="K3443" t="n">
        <v>0</v>
      </c>
      <c r="L3443" t="n">
        <v>0</v>
      </c>
      <c r="M3443" t="n">
        <v>0</v>
      </c>
      <c r="N3443" t="n">
        <v>0</v>
      </c>
      <c r="O3443" t="n">
        <v>0</v>
      </c>
      <c r="P3443" t="n">
        <v>0</v>
      </c>
      <c r="Q3443" t="n">
        <v>0</v>
      </c>
      <c r="R3443" s="2" t="inlineStr"/>
    </row>
    <row r="3444" ht="15" customHeight="1">
      <c r="A3444" t="inlineStr">
        <is>
          <t>A 36064-2023</t>
        </is>
      </c>
      <c r="B3444" s="1" t="n">
        <v>45149</v>
      </c>
      <c r="C3444" s="1" t="n">
        <v>45952</v>
      </c>
      <c r="D3444" t="inlineStr">
        <is>
          <t>ÖREBRO LÄN</t>
        </is>
      </c>
      <c r="E3444" t="inlineStr">
        <is>
          <t>NORA</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50933-2025</t>
        </is>
      </c>
      <c r="B3445" s="1" t="n">
        <v>45946.68859953704</v>
      </c>
      <c r="C3445" s="1" t="n">
        <v>45952</v>
      </c>
      <c r="D3445" t="inlineStr">
        <is>
          <t>ÖREBRO LÄN</t>
        </is>
      </c>
      <c r="E3445" t="inlineStr">
        <is>
          <t>LINDESBERG</t>
        </is>
      </c>
      <c r="F3445" t="inlineStr">
        <is>
          <t>Sveaskog</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50936-2025</t>
        </is>
      </c>
      <c r="B3446" s="1" t="n">
        <v>45946.69616898148</v>
      </c>
      <c r="C3446" s="1" t="n">
        <v>45952</v>
      </c>
      <c r="D3446" t="inlineStr">
        <is>
          <t>ÖREBRO LÄN</t>
        </is>
      </c>
      <c r="E3446" t="inlineStr">
        <is>
          <t>LINDESBERG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50798-2025</t>
        </is>
      </c>
      <c r="B3447" s="1" t="n">
        <v>45946.48537037037</v>
      </c>
      <c r="C3447" s="1" t="n">
        <v>45952</v>
      </c>
      <c r="D3447" t="inlineStr">
        <is>
          <t>ÖREBRO LÄN</t>
        </is>
      </c>
      <c r="E3447" t="inlineStr">
        <is>
          <t>HÄLLEFORS</t>
        </is>
      </c>
      <c r="F3447" t="inlineStr">
        <is>
          <t>Bergvik skog väst AB</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15523-2024</t>
        </is>
      </c>
      <c r="B3448" s="1" t="n">
        <v>45401.58033564815</v>
      </c>
      <c r="C3448" s="1" t="n">
        <v>45952</v>
      </c>
      <c r="D3448" t="inlineStr">
        <is>
          <t>ÖREBRO LÄN</t>
        </is>
      </c>
      <c r="E3448" t="inlineStr">
        <is>
          <t>HALLSBERG</t>
        </is>
      </c>
      <c r="F3448" t="inlineStr">
        <is>
          <t>Sveaskog</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15822-2024</t>
        </is>
      </c>
      <c r="B3449" s="1" t="n">
        <v>45404.68190972223</v>
      </c>
      <c r="C3449" s="1" t="n">
        <v>45952</v>
      </c>
      <c r="D3449" t="inlineStr">
        <is>
          <t>ÖREBRO LÄN</t>
        </is>
      </c>
      <c r="E3449" t="inlineStr">
        <is>
          <t>LINDESBERG</t>
        </is>
      </c>
      <c r="F3449" t="inlineStr">
        <is>
          <t>Sveaskog</t>
        </is>
      </c>
      <c r="G3449" t="n">
        <v>6.7</v>
      </c>
      <c r="H3449" t="n">
        <v>0</v>
      </c>
      <c r="I3449" t="n">
        <v>0</v>
      </c>
      <c r="J3449" t="n">
        <v>0</v>
      </c>
      <c r="K3449" t="n">
        <v>0</v>
      </c>
      <c r="L3449" t="n">
        <v>0</v>
      </c>
      <c r="M3449" t="n">
        <v>0</v>
      </c>
      <c r="N3449" t="n">
        <v>0</v>
      </c>
      <c r="O3449" t="n">
        <v>0</v>
      </c>
      <c r="P3449" t="n">
        <v>0</v>
      </c>
      <c r="Q3449" t="n">
        <v>0</v>
      </c>
      <c r="R3449" s="2" t="inlineStr"/>
    </row>
    <row r="3450" ht="15" customHeight="1">
      <c r="A3450" t="inlineStr">
        <is>
          <t>A 51186-2025</t>
        </is>
      </c>
      <c r="B3450" s="1" t="n">
        <v>45947.62353009259</v>
      </c>
      <c r="C3450" s="1" t="n">
        <v>45952</v>
      </c>
      <c r="D3450" t="inlineStr">
        <is>
          <t>ÖREBRO LÄN</t>
        </is>
      </c>
      <c r="E3450" t="inlineStr">
        <is>
          <t>LINDESBERG</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51030-2025</t>
        </is>
      </c>
      <c r="B3451" s="1" t="n">
        <v>45947.40105324074</v>
      </c>
      <c r="C3451" s="1" t="n">
        <v>45952</v>
      </c>
      <c r="D3451" t="inlineStr">
        <is>
          <t>ÖREBRO LÄN</t>
        </is>
      </c>
      <c r="E3451" t="inlineStr">
        <is>
          <t>LINDESBERG</t>
        </is>
      </c>
      <c r="F3451" t="inlineStr">
        <is>
          <t>Sveaskog</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59052-2023</t>
        </is>
      </c>
      <c r="B3452" s="1" t="n">
        <v>45252.78021990741</v>
      </c>
      <c r="C3452" s="1" t="n">
        <v>45952</v>
      </c>
      <c r="D3452" t="inlineStr">
        <is>
          <t>ÖREBRO LÄN</t>
        </is>
      </c>
      <c r="E3452" t="inlineStr">
        <is>
          <t>LINDESBERG</t>
        </is>
      </c>
      <c r="G3452" t="n">
        <v>4.2</v>
      </c>
      <c r="H3452" t="n">
        <v>0</v>
      </c>
      <c r="I3452" t="n">
        <v>0</v>
      </c>
      <c r="J3452" t="n">
        <v>0</v>
      </c>
      <c r="K3452" t="n">
        <v>0</v>
      </c>
      <c r="L3452" t="n">
        <v>0</v>
      </c>
      <c r="M3452" t="n">
        <v>0</v>
      </c>
      <c r="N3452" t="n">
        <v>0</v>
      </c>
      <c r="O3452" t="n">
        <v>0</v>
      </c>
      <c r="P3452" t="n">
        <v>0</v>
      </c>
      <c r="Q3452" t="n">
        <v>0</v>
      </c>
      <c r="R3452" s="2" t="inlineStr"/>
    </row>
    <row r="3453" ht="15" customHeight="1">
      <c r="A3453" t="inlineStr">
        <is>
          <t>A 43706-2022</t>
        </is>
      </c>
      <c r="B3453" s="1" t="n">
        <v>44837</v>
      </c>
      <c r="C3453" s="1" t="n">
        <v>45952</v>
      </c>
      <c r="D3453" t="inlineStr">
        <is>
          <t>ÖREBRO LÄN</t>
        </is>
      </c>
      <c r="E3453" t="inlineStr">
        <is>
          <t>KUMLA</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12729-2024</t>
        </is>
      </c>
      <c r="B3454" s="1" t="n">
        <v>45384.49421296296</v>
      </c>
      <c r="C3454" s="1" t="n">
        <v>45952</v>
      </c>
      <c r="D3454" t="inlineStr">
        <is>
          <t>ÖREBRO LÄN</t>
        </is>
      </c>
      <c r="E3454" t="inlineStr">
        <is>
          <t>DEGERFORS</t>
        </is>
      </c>
      <c r="F3454" t="inlineStr">
        <is>
          <t>Sveaskog</t>
        </is>
      </c>
      <c r="G3454" t="n">
        <v>2.5</v>
      </c>
      <c r="H3454" t="n">
        <v>0</v>
      </c>
      <c r="I3454" t="n">
        <v>0</v>
      </c>
      <c r="J3454" t="n">
        <v>0</v>
      </c>
      <c r="K3454" t="n">
        <v>0</v>
      </c>
      <c r="L3454" t="n">
        <v>0</v>
      </c>
      <c r="M3454" t="n">
        <v>0</v>
      </c>
      <c r="N3454" t="n">
        <v>0</v>
      </c>
      <c r="O3454" t="n">
        <v>0</v>
      </c>
      <c r="P3454" t="n">
        <v>0</v>
      </c>
      <c r="Q3454" t="n">
        <v>0</v>
      </c>
      <c r="R3454" s="2" t="inlineStr"/>
    </row>
    <row r="3455" ht="15" customHeight="1">
      <c r="A3455" t="inlineStr">
        <is>
          <t>A 2107-2022</t>
        </is>
      </c>
      <c r="B3455" s="1" t="n">
        <v>44577.83484953704</v>
      </c>
      <c r="C3455" s="1" t="n">
        <v>45952</v>
      </c>
      <c r="D3455" t="inlineStr">
        <is>
          <t>ÖREBRO LÄN</t>
        </is>
      </c>
      <c r="E3455" t="inlineStr">
        <is>
          <t>LINDESBERG</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15789-2023</t>
        </is>
      </c>
      <c r="B3456" s="1" t="n">
        <v>45021.71539351852</v>
      </c>
      <c r="C3456" s="1" t="n">
        <v>45952</v>
      </c>
      <c r="D3456" t="inlineStr">
        <is>
          <t>ÖREBRO LÄN</t>
        </is>
      </c>
      <c r="E3456" t="inlineStr">
        <is>
          <t>ÖREBRO</t>
        </is>
      </c>
      <c r="F3456" t="inlineStr">
        <is>
          <t>Övriga Aktiebolag</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51002-2025</t>
        </is>
      </c>
      <c r="B3457" s="1" t="n">
        <v>45947.36173611111</v>
      </c>
      <c r="C3457" s="1" t="n">
        <v>45952</v>
      </c>
      <c r="D3457" t="inlineStr">
        <is>
          <t>ÖREBRO LÄN</t>
        </is>
      </c>
      <c r="E3457" t="inlineStr">
        <is>
          <t>NORA</t>
        </is>
      </c>
      <c r="G3457" t="n">
        <v>3.6</v>
      </c>
      <c r="H3457" t="n">
        <v>0</v>
      </c>
      <c r="I3457" t="n">
        <v>0</v>
      </c>
      <c r="J3457" t="n">
        <v>0</v>
      </c>
      <c r="K3457" t="n">
        <v>0</v>
      </c>
      <c r="L3457" t="n">
        <v>0</v>
      </c>
      <c r="M3457" t="n">
        <v>0</v>
      </c>
      <c r="N3457" t="n">
        <v>0</v>
      </c>
      <c r="O3457" t="n">
        <v>0</v>
      </c>
      <c r="P3457" t="n">
        <v>0</v>
      </c>
      <c r="Q3457" t="n">
        <v>0</v>
      </c>
      <c r="R3457" s="2" t="inlineStr"/>
    </row>
    <row r="3458" ht="15" customHeight="1">
      <c r="A3458" t="inlineStr">
        <is>
          <t>A 51040-2025</t>
        </is>
      </c>
      <c r="B3458" s="1" t="n">
        <v>45947.41420138889</v>
      </c>
      <c r="C3458" s="1" t="n">
        <v>45952</v>
      </c>
      <c r="D3458" t="inlineStr">
        <is>
          <t>ÖREBRO LÄN</t>
        </is>
      </c>
      <c r="E3458" t="inlineStr">
        <is>
          <t>DEGERFORS</t>
        </is>
      </c>
      <c r="F3458" t="inlineStr">
        <is>
          <t>Sveaskog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53591-2024</t>
        </is>
      </c>
      <c r="B3459" s="1" t="n">
        <v>45614.67206018518</v>
      </c>
      <c r="C3459" s="1" t="n">
        <v>45952</v>
      </c>
      <c r="D3459" t="inlineStr">
        <is>
          <t>ÖREBRO LÄN</t>
        </is>
      </c>
      <c r="E3459" t="inlineStr">
        <is>
          <t>LJUSNARSBERG</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23603-2023</t>
        </is>
      </c>
      <c r="B3460" s="1" t="n">
        <v>45077</v>
      </c>
      <c r="C3460" s="1" t="n">
        <v>45952</v>
      </c>
      <c r="D3460" t="inlineStr">
        <is>
          <t>ÖREBRO LÄN</t>
        </is>
      </c>
      <c r="E3460" t="inlineStr">
        <is>
          <t>LINDESBERG</t>
        </is>
      </c>
      <c r="F3460" t="inlineStr">
        <is>
          <t>Sveaskog</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38572-2023</t>
        </is>
      </c>
      <c r="B3461" s="1" t="n">
        <v>45162</v>
      </c>
      <c r="C3461" s="1" t="n">
        <v>45952</v>
      </c>
      <c r="D3461" t="inlineStr">
        <is>
          <t>ÖREBRO LÄN</t>
        </is>
      </c>
      <c r="E3461" t="inlineStr">
        <is>
          <t>ASKERSUND</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23607-2023</t>
        </is>
      </c>
      <c r="B3462" s="1" t="n">
        <v>45077</v>
      </c>
      <c r="C3462" s="1" t="n">
        <v>45952</v>
      </c>
      <c r="D3462" t="inlineStr">
        <is>
          <t>ÖREBRO LÄN</t>
        </is>
      </c>
      <c r="E3462" t="inlineStr">
        <is>
          <t>LINDESBERG</t>
        </is>
      </c>
      <c r="F3462" t="inlineStr">
        <is>
          <t>Sveaskog</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23612-2023</t>
        </is>
      </c>
      <c r="B3463" s="1" t="n">
        <v>45077</v>
      </c>
      <c r="C3463" s="1" t="n">
        <v>45952</v>
      </c>
      <c r="D3463" t="inlineStr">
        <is>
          <t>ÖREBRO LÄN</t>
        </is>
      </c>
      <c r="E3463" t="inlineStr">
        <is>
          <t>LINDESBERG</t>
        </is>
      </c>
      <c r="F3463" t="inlineStr">
        <is>
          <t>Sveaskog</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32015-2025</t>
        </is>
      </c>
      <c r="B3464" s="1" t="n">
        <v>45835</v>
      </c>
      <c r="C3464" s="1" t="n">
        <v>45952</v>
      </c>
      <c r="D3464" t="inlineStr">
        <is>
          <t>ÖREBRO LÄN</t>
        </is>
      </c>
      <c r="E3464" t="inlineStr">
        <is>
          <t>LJUSNARSBERG</t>
        </is>
      </c>
      <c r="F3464" t="inlineStr">
        <is>
          <t>Sveaskog</t>
        </is>
      </c>
      <c r="G3464" t="n">
        <v>5.1</v>
      </c>
      <c r="H3464" t="n">
        <v>0</v>
      </c>
      <c r="I3464" t="n">
        <v>0</v>
      </c>
      <c r="J3464" t="n">
        <v>0</v>
      </c>
      <c r="K3464" t="n">
        <v>0</v>
      </c>
      <c r="L3464" t="n">
        <v>0</v>
      </c>
      <c r="M3464" t="n">
        <v>0</v>
      </c>
      <c r="N3464" t="n">
        <v>0</v>
      </c>
      <c r="O3464" t="n">
        <v>0</v>
      </c>
      <c r="P3464" t="n">
        <v>0</v>
      </c>
      <c r="Q3464" t="n">
        <v>0</v>
      </c>
      <c r="R3464" s="2" t="inlineStr"/>
    </row>
    <row r="3465" ht="15" customHeight="1">
      <c r="A3465" t="inlineStr">
        <is>
          <t>A 42549-2025</t>
        </is>
      </c>
      <c r="B3465" s="1" t="n">
        <v>45905.59025462963</v>
      </c>
      <c r="C3465" s="1" t="n">
        <v>45952</v>
      </c>
      <c r="D3465" t="inlineStr">
        <is>
          <t>ÖREBRO LÄN</t>
        </is>
      </c>
      <c r="E3465" t="inlineStr">
        <is>
          <t>LAXÅ</t>
        </is>
      </c>
      <c r="F3465" t="inlineStr">
        <is>
          <t>Sveaskog</t>
        </is>
      </c>
      <c r="G3465" t="n">
        <v>8.300000000000001</v>
      </c>
      <c r="H3465" t="n">
        <v>0</v>
      </c>
      <c r="I3465" t="n">
        <v>0</v>
      </c>
      <c r="J3465" t="n">
        <v>0</v>
      </c>
      <c r="K3465" t="n">
        <v>0</v>
      </c>
      <c r="L3465" t="n">
        <v>0</v>
      </c>
      <c r="M3465" t="n">
        <v>0</v>
      </c>
      <c r="N3465" t="n">
        <v>0</v>
      </c>
      <c r="O3465" t="n">
        <v>0</v>
      </c>
      <c r="P3465" t="n">
        <v>0</v>
      </c>
      <c r="Q3465" t="n">
        <v>0</v>
      </c>
      <c r="R3465" s="2" t="inlineStr"/>
    </row>
    <row r="3466" ht="15" customHeight="1">
      <c r="A3466" t="inlineStr">
        <is>
          <t>A 11864-2025</t>
        </is>
      </c>
      <c r="B3466" s="1" t="n">
        <v>45728.41668981482</v>
      </c>
      <c r="C3466" s="1" t="n">
        <v>45952</v>
      </c>
      <c r="D3466" t="inlineStr">
        <is>
          <t>ÖREBRO LÄN</t>
        </is>
      </c>
      <c r="E3466" t="inlineStr">
        <is>
          <t>NORA</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42571-2025</t>
        </is>
      </c>
      <c r="B3467" s="1" t="n">
        <v>45905.60946759259</v>
      </c>
      <c r="C3467" s="1" t="n">
        <v>45952</v>
      </c>
      <c r="D3467" t="inlineStr">
        <is>
          <t>ÖREBRO LÄN</t>
        </is>
      </c>
      <c r="E3467" t="inlineStr">
        <is>
          <t>LAXÅ</t>
        </is>
      </c>
      <c r="F3467" t="inlineStr">
        <is>
          <t>Sveaskog</t>
        </is>
      </c>
      <c r="G3467" t="n">
        <v>5.1</v>
      </c>
      <c r="H3467" t="n">
        <v>0</v>
      </c>
      <c r="I3467" t="n">
        <v>0</v>
      </c>
      <c r="J3467" t="n">
        <v>0</v>
      </c>
      <c r="K3467" t="n">
        <v>0</v>
      </c>
      <c r="L3467" t="n">
        <v>0</v>
      </c>
      <c r="M3467" t="n">
        <v>0</v>
      </c>
      <c r="N3467" t="n">
        <v>0</v>
      </c>
      <c r="O3467" t="n">
        <v>0</v>
      </c>
      <c r="P3467" t="n">
        <v>0</v>
      </c>
      <c r="Q3467" t="n">
        <v>0</v>
      </c>
      <c r="R3467" s="2" t="inlineStr"/>
    </row>
    <row r="3468" ht="15" customHeight="1">
      <c r="A3468" t="inlineStr">
        <is>
          <t>A 56635-2022</t>
        </is>
      </c>
      <c r="B3468" s="1" t="n">
        <v>44893</v>
      </c>
      <c r="C3468" s="1" t="n">
        <v>45952</v>
      </c>
      <c r="D3468" t="inlineStr">
        <is>
          <t>ÖREBRO LÄN</t>
        </is>
      </c>
      <c r="E3468" t="inlineStr">
        <is>
          <t>LEKEBERG</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22867-2022</t>
        </is>
      </c>
      <c r="B3469" s="1" t="n">
        <v>44715.49313657408</v>
      </c>
      <c r="C3469" s="1" t="n">
        <v>45952</v>
      </c>
      <c r="D3469" t="inlineStr">
        <is>
          <t>ÖREBRO LÄN</t>
        </is>
      </c>
      <c r="E3469" t="inlineStr">
        <is>
          <t>KARLSKOGA</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5772-2023</t>
        </is>
      </c>
      <c r="B3470" s="1" t="n">
        <v>44963.37709490741</v>
      </c>
      <c r="C3470" s="1" t="n">
        <v>45952</v>
      </c>
      <c r="D3470" t="inlineStr">
        <is>
          <t>ÖREBRO LÄN</t>
        </is>
      </c>
      <c r="E3470" t="inlineStr">
        <is>
          <t>LINDESBERG</t>
        </is>
      </c>
      <c r="G3470" t="n">
        <v>3</v>
      </c>
      <c r="H3470" t="n">
        <v>0</v>
      </c>
      <c r="I3470" t="n">
        <v>0</v>
      </c>
      <c r="J3470" t="n">
        <v>0</v>
      </c>
      <c r="K3470" t="n">
        <v>0</v>
      </c>
      <c r="L3470" t="n">
        <v>0</v>
      </c>
      <c r="M3470" t="n">
        <v>0</v>
      </c>
      <c r="N3470" t="n">
        <v>0</v>
      </c>
      <c r="O3470" t="n">
        <v>0</v>
      </c>
      <c r="P3470" t="n">
        <v>0</v>
      </c>
      <c r="Q3470" t="n">
        <v>0</v>
      </c>
      <c r="R3470" s="2" t="inlineStr"/>
    </row>
    <row r="3471" ht="15" customHeight="1">
      <c r="A3471" t="inlineStr">
        <is>
          <t>A 37968-2024</t>
        </is>
      </c>
      <c r="B3471" s="1" t="n">
        <v>45544</v>
      </c>
      <c r="C3471" s="1" t="n">
        <v>45952</v>
      </c>
      <c r="D3471" t="inlineStr">
        <is>
          <t>ÖREBRO LÄN</t>
        </is>
      </c>
      <c r="E3471" t="inlineStr">
        <is>
          <t>ÖREBRO</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52612-2024</t>
        </is>
      </c>
      <c r="B3472" s="1" t="n">
        <v>45609</v>
      </c>
      <c r="C3472" s="1" t="n">
        <v>45952</v>
      </c>
      <c r="D3472" t="inlineStr">
        <is>
          <t>ÖREBRO LÄN</t>
        </is>
      </c>
      <c r="E3472" t="inlineStr">
        <is>
          <t>ÖREBRO</t>
        </is>
      </c>
      <c r="F3472" t="inlineStr">
        <is>
          <t>Kommuner</t>
        </is>
      </c>
      <c r="G3472" t="n">
        <v>5.5</v>
      </c>
      <c r="H3472" t="n">
        <v>0</v>
      </c>
      <c r="I3472" t="n">
        <v>0</v>
      </c>
      <c r="J3472" t="n">
        <v>0</v>
      </c>
      <c r="K3472" t="n">
        <v>0</v>
      </c>
      <c r="L3472" t="n">
        <v>0</v>
      </c>
      <c r="M3472" t="n">
        <v>0</v>
      </c>
      <c r="N3472" t="n">
        <v>0</v>
      </c>
      <c r="O3472" t="n">
        <v>0</v>
      </c>
      <c r="P3472" t="n">
        <v>0</v>
      </c>
      <c r="Q3472" t="n">
        <v>0</v>
      </c>
      <c r="R3472" s="2" t="inlineStr"/>
    </row>
    <row r="3473" ht="15" customHeight="1">
      <c r="A3473" t="inlineStr">
        <is>
          <t>A 37786-2024</t>
        </is>
      </c>
      <c r="B3473" s="1" t="n">
        <v>45542.82987268519</v>
      </c>
      <c r="C3473" s="1" t="n">
        <v>45952</v>
      </c>
      <c r="D3473" t="inlineStr">
        <is>
          <t>ÖREBRO LÄN</t>
        </is>
      </c>
      <c r="E3473" t="inlineStr">
        <is>
          <t>ÖREBRO</t>
        </is>
      </c>
      <c r="G3473" t="n">
        <v>3.1</v>
      </c>
      <c r="H3473" t="n">
        <v>0</v>
      </c>
      <c r="I3473" t="n">
        <v>0</v>
      </c>
      <c r="J3473" t="n">
        <v>0</v>
      </c>
      <c r="K3473" t="n">
        <v>0</v>
      </c>
      <c r="L3473" t="n">
        <v>0</v>
      </c>
      <c r="M3473" t="n">
        <v>0</v>
      </c>
      <c r="N3473" t="n">
        <v>0</v>
      </c>
      <c r="O3473" t="n">
        <v>0</v>
      </c>
      <c r="P3473" t="n">
        <v>0</v>
      </c>
      <c r="Q3473" t="n">
        <v>0</v>
      </c>
      <c r="R3473" s="2" t="inlineStr"/>
    </row>
    <row r="3474" ht="15" customHeight="1">
      <c r="A3474" t="inlineStr">
        <is>
          <t>A 27296-2025</t>
        </is>
      </c>
      <c r="B3474" s="1" t="n">
        <v>45812.56952546296</v>
      </c>
      <c r="C3474" s="1" t="n">
        <v>45952</v>
      </c>
      <c r="D3474" t="inlineStr">
        <is>
          <t>ÖREBRO LÄN</t>
        </is>
      </c>
      <c r="E3474" t="inlineStr">
        <is>
          <t>LINDESBERG</t>
        </is>
      </c>
      <c r="F3474" t="inlineStr">
        <is>
          <t>Sveaskog</t>
        </is>
      </c>
      <c r="G3474" t="n">
        <v>4.5</v>
      </c>
      <c r="H3474" t="n">
        <v>0</v>
      </c>
      <c r="I3474" t="n">
        <v>0</v>
      </c>
      <c r="J3474" t="n">
        <v>0</v>
      </c>
      <c r="K3474" t="n">
        <v>0</v>
      </c>
      <c r="L3474" t="n">
        <v>0</v>
      </c>
      <c r="M3474" t="n">
        <v>0</v>
      </c>
      <c r="N3474" t="n">
        <v>0</v>
      </c>
      <c r="O3474" t="n">
        <v>0</v>
      </c>
      <c r="P3474" t="n">
        <v>0</v>
      </c>
      <c r="Q3474" t="n">
        <v>0</v>
      </c>
      <c r="R3474" s="2" t="inlineStr"/>
    </row>
    <row r="3475" ht="15" customHeight="1">
      <c r="A3475" t="inlineStr">
        <is>
          <t>A 27498-2025</t>
        </is>
      </c>
      <c r="B3475" s="1" t="n">
        <v>45813</v>
      </c>
      <c r="C3475" s="1" t="n">
        <v>45952</v>
      </c>
      <c r="D3475" t="inlineStr">
        <is>
          <t>ÖREBRO LÄN</t>
        </is>
      </c>
      <c r="E3475" t="inlineStr">
        <is>
          <t>KARLSKOGA</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10674-2024</t>
        </is>
      </c>
      <c r="B3476" s="1" t="n">
        <v>45369.35297453704</v>
      </c>
      <c r="C3476" s="1" t="n">
        <v>45952</v>
      </c>
      <c r="D3476" t="inlineStr">
        <is>
          <t>ÖREBRO LÄN</t>
        </is>
      </c>
      <c r="E3476" t="inlineStr">
        <is>
          <t>DEGERFORS</t>
        </is>
      </c>
      <c r="F3476" t="inlineStr">
        <is>
          <t>Sveaskog</t>
        </is>
      </c>
      <c r="G3476" t="n">
        <v>0.3</v>
      </c>
      <c r="H3476" t="n">
        <v>0</v>
      </c>
      <c r="I3476" t="n">
        <v>0</v>
      </c>
      <c r="J3476" t="n">
        <v>0</v>
      </c>
      <c r="K3476" t="n">
        <v>0</v>
      </c>
      <c r="L3476" t="n">
        <v>0</v>
      </c>
      <c r="M3476" t="n">
        <v>0</v>
      </c>
      <c r="N3476" t="n">
        <v>0</v>
      </c>
      <c r="O3476" t="n">
        <v>0</v>
      </c>
      <c r="P3476" t="n">
        <v>0</v>
      </c>
      <c r="Q3476" t="n">
        <v>0</v>
      </c>
      <c r="R3476" s="2" t="inlineStr"/>
    </row>
    <row r="3477" ht="15" customHeight="1">
      <c r="A3477" t="inlineStr">
        <is>
          <t>A 24921-2023</t>
        </is>
      </c>
      <c r="B3477" s="1" t="n">
        <v>45085</v>
      </c>
      <c r="C3477" s="1" t="n">
        <v>45952</v>
      </c>
      <c r="D3477" t="inlineStr">
        <is>
          <t>ÖREBRO LÄN</t>
        </is>
      </c>
      <c r="E3477" t="inlineStr">
        <is>
          <t>LJUSNARSBERG</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51172-2025</t>
        </is>
      </c>
      <c r="B3478" s="1" t="n">
        <v>45947.60508101852</v>
      </c>
      <c r="C3478" s="1" t="n">
        <v>45952</v>
      </c>
      <c r="D3478" t="inlineStr">
        <is>
          <t>ÖREBRO LÄN</t>
        </is>
      </c>
      <c r="E3478" t="inlineStr">
        <is>
          <t>LINDESBERG</t>
        </is>
      </c>
      <c r="F3478" t="inlineStr">
        <is>
          <t>Kyrkan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42411-2025</t>
        </is>
      </c>
      <c r="B3479" s="1" t="n">
        <v>45905.3868287037</v>
      </c>
      <c r="C3479" s="1" t="n">
        <v>45952</v>
      </c>
      <c r="D3479" t="inlineStr">
        <is>
          <t>ÖREBRO LÄN</t>
        </is>
      </c>
      <c r="E3479" t="inlineStr">
        <is>
          <t>HALLSBERG</t>
        </is>
      </c>
      <c r="F3479" t="inlineStr">
        <is>
          <t>Kommuner</t>
        </is>
      </c>
      <c r="G3479" t="n">
        <v>0.7</v>
      </c>
      <c r="H3479" t="n">
        <v>0</v>
      </c>
      <c r="I3479" t="n">
        <v>0</v>
      </c>
      <c r="J3479" t="n">
        <v>0</v>
      </c>
      <c r="K3479" t="n">
        <v>0</v>
      </c>
      <c r="L3479" t="n">
        <v>0</v>
      </c>
      <c r="M3479" t="n">
        <v>0</v>
      </c>
      <c r="N3479" t="n">
        <v>0</v>
      </c>
      <c r="O3479" t="n">
        <v>0</v>
      </c>
      <c r="P3479" t="n">
        <v>0</v>
      </c>
      <c r="Q3479" t="n">
        <v>0</v>
      </c>
      <c r="R3479" s="2" t="inlineStr"/>
    </row>
    <row r="3480" ht="15" customHeight="1">
      <c r="A3480" t="inlineStr">
        <is>
          <t>A 27146-2025</t>
        </is>
      </c>
      <c r="B3480" s="1" t="n">
        <v>45812.31252314815</v>
      </c>
      <c r="C3480" s="1" t="n">
        <v>45952</v>
      </c>
      <c r="D3480" t="inlineStr">
        <is>
          <t>ÖREBRO LÄN</t>
        </is>
      </c>
      <c r="E3480" t="inlineStr">
        <is>
          <t>HALLSBERG</t>
        </is>
      </c>
      <c r="G3480" t="n">
        <v>6.2</v>
      </c>
      <c r="H3480" t="n">
        <v>0</v>
      </c>
      <c r="I3480" t="n">
        <v>0</v>
      </c>
      <c r="J3480" t="n">
        <v>0</v>
      </c>
      <c r="K3480" t="n">
        <v>0</v>
      </c>
      <c r="L3480" t="n">
        <v>0</v>
      </c>
      <c r="M3480" t="n">
        <v>0</v>
      </c>
      <c r="N3480" t="n">
        <v>0</v>
      </c>
      <c r="O3480" t="n">
        <v>0</v>
      </c>
      <c r="P3480" t="n">
        <v>0</v>
      </c>
      <c r="Q3480" t="n">
        <v>0</v>
      </c>
      <c r="R3480" s="2" t="inlineStr"/>
    </row>
    <row r="3481" ht="15" customHeight="1">
      <c r="A3481" t="inlineStr">
        <is>
          <t>A 27147-2025</t>
        </is>
      </c>
      <c r="B3481" s="1" t="n">
        <v>45812</v>
      </c>
      <c r="C3481" s="1" t="n">
        <v>45952</v>
      </c>
      <c r="D3481" t="inlineStr">
        <is>
          <t>ÖREBRO LÄN</t>
        </is>
      </c>
      <c r="E3481" t="inlineStr">
        <is>
          <t>HALLSBERG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8687-2023</t>
        </is>
      </c>
      <c r="B3482" s="1" t="n">
        <v>44978.30016203703</v>
      </c>
      <c r="C3482" s="1" t="n">
        <v>45952</v>
      </c>
      <c r="D3482" t="inlineStr">
        <is>
          <t>ÖREBRO LÄN</t>
        </is>
      </c>
      <c r="E3482" t="inlineStr">
        <is>
          <t>KUMLA</t>
        </is>
      </c>
      <c r="G3482" t="n">
        <v>0.2</v>
      </c>
      <c r="H3482" t="n">
        <v>0</v>
      </c>
      <c r="I3482" t="n">
        <v>0</v>
      </c>
      <c r="J3482" t="n">
        <v>0</v>
      </c>
      <c r="K3482" t="n">
        <v>0</v>
      </c>
      <c r="L3482" t="n">
        <v>0</v>
      </c>
      <c r="M3482" t="n">
        <v>0</v>
      </c>
      <c r="N3482" t="n">
        <v>0</v>
      </c>
      <c r="O3482" t="n">
        <v>0</v>
      </c>
      <c r="P3482" t="n">
        <v>0</v>
      </c>
      <c r="Q3482" t="n">
        <v>0</v>
      </c>
      <c r="R3482" s="2" t="inlineStr"/>
    </row>
    <row r="3483" ht="15" customHeight="1">
      <c r="A3483" t="inlineStr">
        <is>
          <t>A 41822-2023</t>
        </is>
      </c>
      <c r="B3483" s="1" t="n">
        <v>45176.56863425926</v>
      </c>
      <c r="C3483" s="1" t="n">
        <v>45952</v>
      </c>
      <c r="D3483" t="inlineStr">
        <is>
          <t>ÖREBRO LÄN</t>
        </is>
      </c>
      <c r="E3483" t="inlineStr">
        <is>
          <t>HÄLLEFORS</t>
        </is>
      </c>
      <c r="F3483" t="inlineStr">
        <is>
          <t>Bergvik skog väst AB</t>
        </is>
      </c>
      <c r="G3483" t="n">
        <v>5.6</v>
      </c>
      <c r="H3483" t="n">
        <v>0</v>
      </c>
      <c r="I3483" t="n">
        <v>0</v>
      </c>
      <c r="J3483" t="n">
        <v>0</v>
      </c>
      <c r="K3483" t="n">
        <v>0</v>
      </c>
      <c r="L3483" t="n">
        <v>0</v>
      </c>
      <c r="M3483" t="n">
        <v>0</v>
      </c>
      <c r="N3483" t="n">
        <v>0</v>
      </c>
      <c r="O3483" t="n">
        <v>0</v>
      </c>
      <c r="P3483" t="n">
        <v>0</v>
      </c>
      <c r="Q3483" t="n">
        <v>0</v>
      </c>
      <c r="R3483" s="2" t="inlineStr"/>
    </row>
    <row r="3484" ht="15" customHeight="1">
      <c r="A3484" t="inlineStr">
        <is>
          <t>A 21055-2024</t>
        </is>
      </c>
      <c r="B3484" s="1" t="n">
        <v>45439.70784722222</v>
      </c>
      <c r="C3484" s="1" t="n">
        <v>45952</v>
      </c>
      <c r="D3484" t="inlineStr">
        <is>
          <t>ÖREBRO LÄN</t>
        </is>
      </c>
      <c r="E3484" t="inlineStr">
        <is>
          <t>ASKERSUND</t>
        </is>
      </c>
      <c r="G3484" t="n">
        <v>8.6</v>
      </c>
      <c r="H3484" t="n">
        <v>0</v>
      </c>
      <c r="I3484" t="n">
        <v>0</v>
      </c>
      <c r="J3484" t="n">
        <v>0</v>
      </c>
      <c r="K3484" t="n">
        <v>0</v>
      </c>
      <c r="L3484" t="n">
        <v>0</v>
      </c>
      <c r="M3484" t="n">
        <v>0</v>
      </c>
      <c r="N3484" t="n">
        <v>0</v>
      </c>
      <c r="O3484" t="n">
        <v>0</v>
      </c>
      <c r="P3484" t="n">
        <v>0</v>
      </c>
      <c r="Q3484" t="n">
        <v>0</v>
      </c>
      <c r="R3484" s="2" t="inlineStr"/>
    </row>
    <row r="3485" ht="15" customHeight="1">
      <c r="A3485" t="inlineStr">
        <is>
          <t>A 42604-2025</t>
        </is>
      </c>
      <c r="B3485" s="1" t="n">
        <v>45905.67453703703</v>
      </c>
      <c r="C3485" s="1" t="n">
        <v>45952</v>
      </c>
      <c r="D3485" t="inlineStr">
        <is>
          <t>ÖREBRO LÄN</t>
        </is>
      </c>
      <c r="E3485" t="inlineStr">
        <is>
          <t>HALLSBERG</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27341-2025</t>
        </is>
      </c>
      <c r="B3486" s="1" t="n">
        <v>45812.61592592593</v>
      </c>
      <c r="C3486" s="1" t="n">
        <v>45952</v>
      </c>
      <c r="D3486" t="inlineStr">
        <is>
          <t>ÖREBRO LÄN</t>
        </is>
      </c>
      <c r="E3486" t="inlineStr">
        <is>
          <t>LJUSNARSBERG</t>
        </is>
      </c>
      <c r="F3486" t="inlineStr">
        <is>
          <t>Sveaskog</t>
        </is>
      </c>
      <c r="G3486" t="n">
        <v>2.3</v>
      </c>
      <c r="H3486" t="n">
        <v>0</v>
      </c>
      <c r="I3486" t="n">
        <v>0</v>
      </c>
      <c r="J3486" t="n">
        <v>0</v>
      </c>
      <c r="K3486" t="n">
        <v>0</v>
      </c>
      <c r="L3486" t="n">
        <v>0</v>
      </c>
      <c r="M3486" t="n">
        <v>0</v>
      </c>
      <c r="N3486" t="n">
        <v>0</v>
      </c>
      <c r="O3486" t="n">
        <v>0</v>
      </c>
      <c r="P3486" t="n">
        <v>0</v>
      </c>
      <c r="Q3486" t="n">
        <v>0</v>
      </c>
      <c r="R3486" s="2" t="inlineStr"/>
    </row>
    <row r="3487" ht="15" customHeight="1">
      <c r="A3487" t="inlineStr">
        <is>
          <t>A 27343-2025</t>
        </is>
      </c>
      <c r="B3487" s="1" t="n">
        <v>45812.61828703704</v>
      </c>
      <c r="C3487" s="1" t="n">
        <v>45952</v>
      </c>
      <c r="D3487" t="inlineStr">
        <is>
          <t>ÖREBRO LÄN</t>
        </is>
      </c>
      <c r="E3487" t="inlineStr">
        <is>
          <t>LJUSNARSBERG</t>
        </is>
      </c>
      <c r="F3487" t="inlineStr">
        <is>
          <t>Sveaskog</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50765-2025</t>
        </is>
      </c>
      <c r="B3488" s="1" t="n">
        <v>45946.44216435185</v>
      </c>
      <c r="C3488" s="1" t="n">
        <v>45952</v>
      </c>
      <c r="D3488" t="inlineStr">
        <is>
          <t>ÖREBRO LÄN</t>
        </is>
      </c>
      <c r="E3488" t="inlineStr">
        <is>
          <t>LINDESBERG</t>
        </is>
      </c>
      <c r="F3488" t="inlineStr">
        <is>
          <t>Sveaskog</t>
        </is>
      </c>
      <c r="G3488" t="n">
        <v>9.300000000000001</v>
      </c>
      <c r="H3488" t="n">
        <v>0</v>
      </c>
      <c r="I3488" t="n">
        <v>0</v>
      </c>
      <c r="J3488" t="n">
        <v>0</v>
      </c>
      <c r="K3488" t="n">
        <v>0</v>
      </c>
      <c r="L3488" t="n">
        <v>0</v>
      </c>
      <c r="M3488" t="n">
        <v>0</v>
      </c>
      <c r="N3488" t="n">
        <v>0</v>
      </c>
      <c r="O3488" t="n">
        <v>0</v>
      </c>
      <c r="P3488" t="n">
        <v>0</v>
      </c>
      <c r="Q3488" t="n">
        <v>0</v>
      </c>
      <c r="R3488" s="2" t="inlineStr"/>
    </row>
    <row r="3489" ht="15" customHeight="1">
      <c r="A3489" t="inlineStr">
        <is>
          <t>A 42552-2025</t>
        </is>
      </c>
      <c r="B3489" s="1" t="n">
        <v>45905.59133101852</v>
      </c>
      <c r="C3489" s="1" t="n">
        <v>45952</v>
      </c>
      <c r="D3489" t="inlineStr">
        <is>
          <t>ÖREBRO LÄN</t>
        </is>
      </c>
      <c r="E3489" t="inlineStr">
        <is>
          <t>LAXÅ</t>
        </is>
      </c>
      <c r="F3489" t="inlineStr">
        <is>
          <t>Sveaskog</t>
        </is>
      </c>
      <c r="G3489" t="n">
        <v>1.8</v>
      </c>
      <c r="H3489" t="n">
        <v>0</v>
      </c>
      <c r="I3489" t="n">
        <v>0</v>
      </c>
      <c r="J3489" t="n">
        <v>0</v>
      </c>
      <c r="K3489" t="n">
        <v>0</v>
      </c>
      <c r="L3489" t="n">
        <v>0</v>
      </c>
      <c r="M3489" t="n">
        <v>0</v>
      </c>
      <c r="N3489" t="n">
        <v>0</v>
      </c>
      <c r="O3489" t="n">
        <v>0</v>
      </c>
      <c r="P3489" t="n">
        <v>0</v>
      </c>
      <c r="Q3489" t="n">
        <v>0</v>
      </c>
      <c r="R3489" s="2" t="inlineStr"/>
    </row>
    <row r="3490" ht="15" customHeight="1">
      <c r="A3490" t="inlineStr">
        <is>
          <t>A 26022-2023</t>
        </is>
      </c>
      <c r="B3490" s="1" t="n">
        <v>45091.29174768519</v>
      </c>
      <c r="C3490" s="1" t="n">
        <v>45952</v>
      </c>
      <c r="D3490" t="inlineStr">
        <is>
          <t>ÖREBRO LÄN</t>
        </is>
      </c>
      <c r="E3490" t="inlineStr">
        <is>
          <t>NORA</t>
        </is>
      </c>
      <c r="F3490" t="inlineStr">
        <is>
          <t>Kyrkan</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60933-2024</t>
        </is>
      </c>
      <c r="B3491" s="1" t="n">
        <v>45645.36615740741</v>
      </c>
      <c r="C3491" s="1" t="n">
        <v>45952</v>
      </c>
      <c r="D3491" t="inlineStr">
        <is>
          <t>ÖREBRO LÄN</t>
        </is>
      </c>
      <c r="E3491" t="inlineStr">
        <is>
          <t>DEGERFORS</t>
        </is>
      </c>
      <c r="F3491" t="inlineStr">
        <is>
          <t>Sveaskog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64060-2023</t>
        </is>
      </c>
      <c r="B3492" s="1" t="n">
        <v>45279.35636574074</v>
      </c>
      <c r="C3492" s="1" t="n">
        <v>45952</v>
      </c>
      <c r="D3492" t="inlineStr">
        <is>
          <t>ÖREBRO LÄN</t>
        </is>
      </c>
      <c r="E3492" t="inlineStr">
        <is>
          <t>KARLSKOGA</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27180-2025</t>
        </is>
      </c>
      <c r="B3493" s="1" t="n">
        <v>45812.35736111111</v>
      </c>
      <c r="C3493" s="1" t="n">
        <v>45952</v>
      </c>
      <c r="D3493" t="inlineStr">
        <is>
          <t>ÖREBRO LÄN</t>
        </is>
      </c>
      <c r="E3493" t="inlineStr">
        <is>
          <t>ÖREBRO</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27215-2025</t>
        </is>
      </c>
      <c r="B3494" s="1" t="n">
        <v>45812.41869212963</v>
      </c>
      <c r="C3494" s="1" t="n">
        <v>45952</v>
      </c>
      <c r="D3494" t="inlineStr">
        <is>
          <t>ÖREBRO LÄN</t>
        </is>
      </c>
      <c r="E3494" t="inlineStr">
        <is>
          <t>ÖREBRO</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27225-2025</t>
        </is>
      </c>
      <c r="B3495" s="1" t="n">
        <v>45812.42856481481</v>
      </c>
      <c r="C3495" s="1" t="n">
        <v>45952</v>
      </c>
      <c r="D3495" t="inlineStr">
        <is>
          <t>ÖREBRO LÄN</t>
        </is>
      </c>
      <c r="E3495" t="inlineStr">
        <is>
          <t>ÖREBRO</t>
        </is>
      </c>
      <c r="G3495" t="n">
        <v>4</v>
      </c>
      <c r="H3495" t="n">
        <v>0</v>
      </c>
      <c r="I3495" t="n">
        <v>0</v>
      </c>
      <c r="J3495" t="n">
        <v>0</v>
      </c>
      <c r="K3495" t="n">
        <v>0</v>
      </c>
      <c r="L3495" t="n">
        <v>0</v>
      </c>
      <c r="M3495" t="n">
        <v>0</v>
      </c>
      <c r="N3495" t="n">
        <v>0</v>
      </c>
      <c r="O3495" t="n">
        <v>0</v>
      </c>
      <c r="P3495" t="n">
        <v>0</v>
      </c>
      <c r="Q3495" t="n">
        <v>0</v>
      </c>
      <c r="R3495" s="2" t="inlineStr"/>
    </row>
    <row r="3496" ht="15" customHeight="1">
      <c r="A3496" t="inlineStr">
        <is>
          <t>A 28555-2023</t>
        </is>
      </c>
      <c r="B3496" s="1" t="n">
        <v>45103.51847222223</v>
      </c>
      <c r="C3496" s="1" t="n">
        <v>45952</v>
      </c>
      <c r="D3496" t="inlineStr">
        <is>
          <t>ÖREBRO LÄN</t>
        </is>
      </c>
      <c r="E3496" t="inlineStr">
        <is>
          <t>ASKERSUND</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25443-2021</t>
        </is>
      </c>
      <c r="B3497" s="1" t="n">
        <v>44342</v>
      </c>
      <c r="C3497" s="1" t="n">
        <v>45952</v>
      </c>
      <c r="D3497" t="inlineStr">
        <is>
          <t>ÖREBRO LÄN</t>
        </is>
      </c>
      <c r="E3497" t="inlineStr">
        <is>
          <t>ÖREBRO</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27148-2025</t>
        </is>
      </c>
      <c r="B3498" s="1" t="n">
        <v>45812</v>
      </c>
      <c r="C3498" s="1" t="n">
        <v>45952</v>
      </c>
      <c r="D3498" t="inlineStr">
        <is>
          <t>ÖREBRO LÄN</t>
        </is>
      </c>
      <c r="E3498" t="inlineStr">
        <is>
          <t>HALLSBERG</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55875-2024</t>
        </is>
      </c>
      <c r="B3499" s="1" t="n">
        <v>45623.55375</v>
      </c>
      <c r="C3499" s="1" t="n">
        <v>45952</v>
      </c>
      <c r="D3499" t="inlineStr">
        <is>
          <t>ÖREBRO LÄN</t>
        </is>
      </c>
      <c r="E3499" t="inlineStr">
        <is>
          <t>ÖREBRO</t>
        </is>
      </c>
      <c r="G3499" t="n">
        <v>3.5</v>
      </c>
      <c r="H3499" t="n">
        <v>0</v>
      </c>
      <c r="I3499" t="n">
        <v>0</v>
      </c>
      <c r="J3499" t="n">
        <v>0</v>
      </c>
      <c r="K3499" t="n">
        <v>0</v>
      </c>
      <c r="L3499" t="n">
        <v>0</v>
      </c>
      <c r="M3499" t="n">
        <v>0</v>
      </c>
      <c r="N3499" t="n">
        <v>0</v>
      </c>
      <c r="O3499" t="n">
        <v>0</v>
      </c>
      <c r="P3499" t="n">
        <v>0</v>
      </c>
      <c r="Q3499" t="n">
        <v>0</v>
      </c>
      <c r="R3499" s="2" t="inlineStr"/>
    </row>
    <row r="3500" ht="15" customHeight="1">
      <c r="A3500" t="inlineStr">
        <is>
          <t>A 42100-2025</t>
        </is>
      </c>
      <c r="B3500" s="1" t="n">
        <v>45903.77434027778</v>
      </c>
      <c r="C3500" s="1" t="n">
        <v>45952</v>
      </c>
      <c r="D3500" t="inlineStr">
        <is>
          <t>ÖREBRO LÄN</t>
        </is>
      </c>
      <c r="E3500" t="inlineStr">
        <is>
          <t>ASKERSUND</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13700-2024</t>
        </is>
      </c>
      <c r="B3501" s="1" t="n">
        <v>45390.59277777778</v>
      </c>
      <c r="C3501" s="1" t="n">
        <v>45952</v>
      </c>
      <c r="D3501" t="inlineStr">
        <is>
          <t>ÖREBRO LÄN</t>
        </is>
      </c>
      <c r="E3501" t="inlineStr">
        <is>
          <t>ÖREBRO</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42542-2025</t>
        </is>
      </c>
      <c r="B3502" s="1" t="n">
        <v>45905.57699074074</v>
      </c>
      <c r="C3502" s="1" t="n">
        <v>45952</v>
      </c>
      <c r="D3502" t="inlineStr">
        <is>
          <t>ÖREBRO LÄN</t>
        </is>
      </c>
      <c r="E3502" t="inlineStr">
        <is>
          <t>ASKERSUND</t>
        </is>
      </c>
      <c r="G3502" t="n">
        <v>6.2</v>
      </c>
      <c r="H3502" t="n">
        <v>0</v>
      </c>
      <c r="I3502" t="n">
        <v>0</v>
      </c>
      <c r="J3502" t="n">
        <v>0</v>
      </c>
      <c r="K3502" t="n">
        <v>0</v>
      </c>
      <c r="L3502" t="n">
        <v>0</v>
      </c>
      <c r="M3502" t="n">
        <v>0</v>
      </c>
      <c r="N3502" t="n">
        <v>0</v>
      </c>
      <c r="O3502" t="n">
        <v>0</v>
      </c>
      <c r="P3502" t="n">
        <v>0</v>
      </c>
      <c r="Q3502" t="n">
        <v>0</v>
      </c>
      <c r="R3502" s="2" t="inlineStr"/>
    </row>
    <row r="3503" ht="15" customHeight="1">
      <c r="A3503" t="inlineStr">
        <is>
          <t>A 27300-2025</t>
        </is>
      </c>
      <c r="B3503" s="1" t="n">
        <v>45812.57143518519</v>
      </c>
      <c r="C3503" s="1" t="n">
        <v>45952</v>
      </c>
      <c r="D3503" t="inlineStr">
        <is>
          <t>ÖREBRO LÄN</t>
        </is>
      </c>
      <c r="E3503" t="inlineStr">
        <is>
          <t>LINDESBERG</t>
        </is>
      </c>
      <c r="F3503" t="inlineStr">
        <is>
          <t>Sveaskog</t>
        </is>
      </c>
      <c r="G3503" t="n">
        <v>19.7</v>
      </c>
      <c r="H3503" t="n">
        <v>0</v>
      </c>
      <c r="I3503" t="n">
        <v>0</v>
      </c>
      <c r="J3503" t="n">
        <v>0</v>
      </c>
      <c r="K3503" t="n">
        <v>0</v>
      </c>
      <c r="L3503" t="n">
        <v>0</v>
      </c>
      <c r="M3503" t="n">
        <v>0</v>
      </c>
      <c r="N3503" t="n">
        <v>0</v>
      </c>
      <c r="O3503" t="n">
        <v>0</v>
      </c>
      <c r="P3503" t="n">
        <v>0</v>
      </c>
      <c r="Q3503" t="n">
        <v>0</v>
      </c>
      <c r="R3503" s="2" t="inlineStr"/>
    </row>
    <row r="3504" ht="15" customHeight="1">
      <c r="A3504" t="inlineStr">
        <is>
          <t>A 27309-2025</t>
        </is>
      </c>
      <c r="B3504" s="1" t="n">
        <v>45812.57452546297</v>
      </c>
      <c r="C3504" s="1" t="n">
        <v>45952</v>
      </c>
      <c r="D3504" t="inlineStr">
        <is>
          <t>ÖREBRO LÄN</t>
        </is>
      </c>
      <c r="E3504" t="inlineStr">
        <is>
          <t>LINDESBERG</t>
        </is>
      </c>
      <c r="F3504" t="inlineStr">
        <is>
          <t>Sveaskog</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27311-2025</t>
        </is>
      </c>
      <c r="B3505" s="1" t="n">
        <v>45812.57604166667</v>
      </c>
      <c r="C3505" s="1" t="n">
        <v>45952</v>
      </c>
      <c r="D3505" t="inlineStr">
        <is>
          <t>ÖREBRO LÄN</t>
        </is>
      </c>
      <c r="E3505" t="inlineStr">
        <is>
          <t>LINDESBERG</t>
        </is>
      </c>
      <c r="F3505" t="inlineStr">
        <is>
          <t>Sveaskog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36902-2021</t>
        </is>
      </c>
      <c r="B3506" s="1" t="n">
        <v>44393.45766203704</v>
      </c>
      <c r="C3506" s="1" t="n">
        <v>45952</v>
      </c>
      <c r="D3506" t="inlineStr">
        <is>
          <t>ÖREBRO LÄN</t>
        </is>
      </c>
      <c r="E3506" t="inlineStr">
        <is>
          <t>LAXÅ</t>
        </is>
      </c>
      <c r="F3506" t="inlineStr">
        <is>
          <t>Sveaskog</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15012-2023</t>
        </is>
      </c>
      <c r="B3507" s="1" t="n">
        <v>45015</v>
      </c>
      <c r="C3507" s="1" t="n">
        <v>45952</v>
      </c>
      <c r="D3507" t="inlineStr">
        <is>
          <t>ÖREBRO LÄN</t>
        </is>
      </c>
      <c r="E3507" t="inlineStr">
        <is>
          <t>NORA</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36024-2021</t>
        </is>
      </c>
      <c r="B3508" s="1" t="n">
        <v>44389</v>
      </c>
      <c r="C3508" s="1" t="n">
        <v>45952</v>
      </c>
      <c r="D3508" t="inlineStr">
        <is>
          <t>ÖREBRO LÄN</t>
        </is>
      </c>
      <c r="E3508" t="inlineStr">
        <is>
          <t>LINDESBERG</t>
        </is>
      </c>
      <c r="F3508" t="inlineStr">
        <is>
          <t>Sveaskog</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40864-2025</t>
        </is>
      </c>
      <c r="B3509" s="1" t="n">
        <v>45897</v>
      </c>
      <c r="C3509" s="1" t="n">
        <v>45952</v>
      </c>
      <c r="D3509" t="inlineStr">
        <is>
          <t>ÖREBRO LÄN</t>
        </is>
      </c>
      <c r="E3509" t="inlineStr">
        <is>
          <t>LJUSNARSBERG</t>
        </is>
      </c>
      <c r="F3509" t="inlineStr">
        <is>
          <t>Bergvik skog väst AB</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46605-2021</t>
        </is>
      </c>
      <c r="B3510" s="1" t="n">
        <v>44445.55292824074</v>
      </c>
      <c r="C3510" s="1" t="n">
        <v>45952</v>
      </c>
      <c r="D3510" t="inlineStr">
        <is>
          <t>ÖREBRO LÄN</t>
        </is>
      </c>
      <c r="E3510" t="inlineStr">
        <is>
          <t>KARLSKOGA</t>
        </is>
      </c>
      <c r="F3510" t="inlineStr">
        <is>
          <t>Sveaskog</t>
        </is>
      </c>
      <c r="G3510" t="n">
        <v>3.6</v>
      </c>
      <c r="H3510" t="n">
        <v>0</v>
      </c>
      <c r="I3510" t="n">
        <v>0</v>
      </c>
      <c r="J3510" t="n">
        <v>0</v>
      </c>
      <c r="K3510" t="n">
        <v>0</v>
      </c>
      <c r="L3510" t="n">
        <v>0</v>
      </c>
      <c r="M3510" t="n">
        <v>0</v>
      </c>
      <c r="N3510" t="n">
        <v>0</v>
      </c>
      <c r="O3510" t="n">
        <v>0</v>
      </c>
      <c r="P3510" t="n">
        <v>0</v>
      </c>
      <c r="Q3510" t="n">
        <v>0</v>
      </c>
      <c r="R3510" s="2" t="inlineStr"/>
    </row>
    <row r="3511" ht="15" customHeight="1">
      <c r="A3511" t="inlineStr">
        <is>
          <t>A 46630-2021</t>
        </is>
      </c>
      <c r="B3511" s="1" t="n">
        <v>44445</v>
      </c>
      <c r="C3511" s="1" t="n">
        <v>45952</v>
      </c>
      <c r="D3511" t="inlineStr">
        <is>
          <t>ÖREBRO LÄN</t>
        </is>
      </c>
      <c r="E3511" t="inlineStr">
        <is>
          <t>ASKERSUND</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45234-2023</t>
        </is>
      </c>
      <c r="B3512" s="1" t="n">
        <v>45191.59268518518</v>
      </c>
      <c r="C3512" s="1" t="n">
        <v>45952</v>
      </c>
      <c r="D3512" t="inlineStr">
        <is>
          <t>ÖREBRO LÄN</t>
        </is>
      </c>
      <c r="E3512" t="inlineStr">
        <is>
          <t>NORA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8606-2022</t>
        </is>
      </c>
      <c r="B3513" s="1" t="n">
        <v>44610</v>
      </c>
      <c r="C3513" s="1" t="n">
        <v>45952</v>
      </c>
      <c r="D3513" t="inlineStr">
        <is>
          <t>ÖREBRO LÄN</t>
        </is>
      </c>
      <c r="E3513" t="inlineStr">
        <is>
          <t>HALLSBERG</t>
        </is>
      </c>
      <c r="G3513" t="n">
        <v>2</v>
      </c>
      <c r="H3513" t="n">
        <v>0</v>
      </c>
      <c r="I3513" t="n">
        <v>0</v>
      </c>
      <c r="J3513" t="n">
        <v>0</v>
      </c>
      <c r="K3513" t="n">
        <v>0</v>
      </c>
      <c r="L3513" t="n">
        <v>0</v>
      </c>
      <c r="M3513" t="n">
        <v>0</v>
      </c>
      <c r="N3513" t="n">
        <v>0</v>
      </c>
      <c r="O3513" t="n">
        <v>0</v>
      </c>
      <c r="P3513" t="n">
        <v>0</v>
      </c>
      <c r="Q3513" t="n">
        <v>0</v>
      </c>
      <c r="R3513" s="2" t="inlineStr"/>
    </row>
    <row r="3514" ht="15" customHeight="1">
      <c r="A3514" t="inlineStr">
        <is>
          <t>A 27220-2025</t>
        </is>
      </c>
      <c r="B3514" s="1" t="n">
        <v>45812.42293981482</v>
      </c>
      <c r="C3514" s="1" t="n">
        <v>45952</v>
      </c>
      <c r="D3514" t="inlineStr">
        <is>
          <t>ÖREBRO LÄN</t>
        </is>
      </c>
      <c r="E3514" t="inlineStr">
        <is>
          <t>ÖREBRO</t>
        </is>
      </c>
      <c r="G3514" t="n">
        <v>0.6</v>
      </c>
      <c r="H3514" t="n">
        <v>0</v>
      </c>
      <c r="I3514" t="n">
        <v>0</v>
      </c>
      <c r="J3514" t="n">
        <v>0</v>
      </c>
      <c r="K3514" t="n">
        <v>0</v>
      </c>
      <c r="L3514" t="n">
        <v>0</v>
      </c>
      <c r="M3514" t="n">
        <v>0</v>
      </c>
      <c r="N3514" t="n">
        <v>0</v>
      </c>
      <c r="O3514" t="n">
        <v>0</v>
      </c>
      <c r="P3514" t="n">
        <v>0</v>
      </c>
      <c r="Q3514" t="n">
        <v>0</v>
      </c>
      <c r="R3514" s="2" t="inlineStr"/>
    </row>
    <row r="3515" ht="15" customHeight="1">
      <c r="A3515" t="inlineStr">
        <is>
          <t>A 14120-2023</t>
        </is>
      </c>
      <c r="B3515" s="1" t="n">
        <v>45009</v>
      </c>
      <c r="C3515" s="1" t="n">
        <v>45952</v>
      </c>
      <c r="D3515" t="inlineStr">
        <is>
          <t>ÖREBRO LÄN</t>
        </is>
      </c>
      <c r="E3515" t="inlineStr">
        <is>
          <t>HÄLLEFORS</t>
        </is>
      </c>
      <c r="F3515" t="inlineStr">
        <is>
          <t>Bergvik skog väst AB</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50865-2025</t>
        </is>
      </c>
      <c r="B3516" s="1" t="n">
        <v>45946.59532407407</v>
      </c>
      <c r="C3516" s="1" t="n">
        <v>45952</v>
      </c>
      <c r="D3516" t="inlineStr">
        <is>
          <t>ÖREBRO LÄN</t>
        </is>
      </c>
      <c r="E3516" t="inlineStr">
        <is>
          <t>LJUSNARSBERG</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39865-2024</t>
        </is>
      </c>
      <c r="B3517" s="1" t="n">
        <v>45553.45989583333</v>
      </c>
      <c r="C3517" s="1" t="n">
        <v>45952</v>
      </c>
      <c r="D3517" t="inlineStr">
        <is>
          <t>ÖREBRO LÄN</t>
        </is>
      </c>
      <c r="E3517" t="inlineStr">
        <is>
          <t>LAXÅ</t>
        </is>
      </c>
      <c r="F3517" t="inlineStr">
        <is>
          <t>Sveaskog</t>
        </is>
      </c>
      <c r="G3517" t="n">
        <v>3.3</v>
      </c>
      <c r="H3517" t="n">
        <v>0</v>
      </c>
      <c r="I3517" t="n">
        <v>0</v>
      </c>
      <c r="J3517" t="n">
        <v>0</v>
      </c>
      <c r="K3517" t="n">
        <v>0</v>
      </c>
      <c r="L3517" t="n">
        <v>0</v>
      </c>
      <c r="M3517" t="n">
        <v>0</v>
      </c>
      <c r="N3517" t="n">
        <v>0</v>
      </c>
      <c r="O3517" t="n">
        <v>0</v>
      </c>
      <c r="P3517" t="n">
        <v>0</v>
      </c>
      <c r="Q3517" t="n">
        <v>0</v>
      </c>
      <c r="R3517" s="2" t="inlineStr"/>
    </row>
    <row r="3518" ht="15" customHeight="1">
      <c r="A3518" t="inlineStr">
        <is>
          <t>A 11559-2024</t>
        </is>
      </c>
      <c r="B3518" s="1" t="n">
        <v>45373.30434027778</v>
      </c>
      <c r="C3518" s="1" t="n">
        <v>45952</v>
      </c>
      <c r="D3518" t="inlineStr">
        <is>
          <t>ÖREBRO LÄN</t>
        </is>
      </c>
      <c r="E3518" t="inlineStr">
        <is>
          <t>LINDESBERG</t>
        </is>
      </c>
      <c r="F3518" t="inlineStr">
        <is>
          <t>BillerudKorsnäs AB</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39938-2025</t>
        </is>
      </c>
      <c r="B3519" s="1" t="n">
        <v>45891</v>
      </c>
      <c r="C3519" s="1" t="n">
        <v>45952</v>
      </c>
      <c r="D3519" t="inlineStr">
        <is>
          <t>ÖREBRO LÄN</t>
        </is>
      </c>
      <c r="E3519" t="inlineStr">
        <is>
          <t>LEKEBERG</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27840-2025</t>
        </is>
      </c>
      <c r="B3520" s="1" t="n">
        <v>45817.37528935185</v>
      </c>
      <c r="C3520" s="1" t="n">
        <v>45952</v>
      </c>
      <c r="D3520" t="inlineStr">
        <is>
          <t>ÖREBRO LÄN</t>
        </is>
      </c>
      <c r="E3520" t="inlineStr">
        <is>
          <t>ASKERSUND</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27915-2025</t>
        </is>
      </c>
      <c r="B3521" s="1" t="n">
        <v>45817.48034722222</v>
      </c>
      <c r="C3521" s="1" t="n">
        <v>45952</v>
      </c>
      <c r="D3521" t="inlineStr">
        <is>
          <t>ÖREBRO LÄN</t>
        </is>
      </c>
      <c r="E3521" t="inlineStr">
        <is>
          <t>HALLSBERG</t>
        </is>
      </c>
      <c r="F3521" t="inlineStr">
        <is>
          <t>Sveaskog</t>
        </is>
      </c>
      <c r="G3521" t="n">
        <v>1.7</v>
      </c>
      <c r="H3521" t="n">
        <v>0</v>
      </c>
      <c r="I3521" t="n">
        <v>0</v>
      </c>
      <c r="J3521" t="n">
        <v>0</v>
      </c>
      <c r="K3521" t="n">
        <v>0</v>
      </c>
      <c r="L3521" t="n">
        <v>0</v>
      </c>
      <c r="M3521" t="n">
        <v>0</v>
      </c>
      <c r="N3521" t="n">
        <v>0</v>
      </c>
      <c r="O3521" t="n">
        <v>0</v>
      </c>
      <c r="P3521" t="n">
        <v>0</v>
      </c>
      <c r="Q3521" t="n">
        <v>0</v>
      </c>
      <c r="R3521" s="2" t="inlineStr"/>
    </row>
    <row r="3522" ht="15" customHeight="1">
      <c r="A3522" t="inlineStr">
        <is>
          <t>A 13472-2023</t>
        </is>
      </c>
      <c r="B3522" s="1" t="n">
        <v>45005</v>
      </c>
      <c r="C3522" s="1" t="n">
        <v>45952</v>
      </c>
      <c r="D3522" t="inlineStr">
        <is>
          <t>ÖREBRO LÄN</t>
        </is>
      </c>
      <c r="E3522" t="inlineStr">
        <is>
          <t>LINDESBERG</t>
        </is>
      </c>
      <c r="G3522" t="n">
        <v>2.5</v>
      </c>
      <c r="H3522" t="n">
        <v>0</v>
      </c>
      <c r="I3522" t="n">
        <v>0</v>
      </c>
      <c r="J3522" t="n">
        <v>0</v>
      </c>
      <c r="K3522" t="n">
        <v>0</v>
      </c>
      <c r="L3522" t="n">
        <v>0</v>
      </c>
      <c r="M3522" t="n">
        <v>0</v>
      </c>
      <c r="N3522" t="n">
        <v>0</v>
      </c>
      <c r="O3522" t="n">
        <v>0</v>
      </c>
      <c r="P3522" t="n">
        <v>0</v>
      </c>
      <c r="Q3522" t="n">
        <v>0</v>
      </c>
      <c r="R3522" s="2" t="inlineStr"/>
    </row>
    <row r="3523" ht="15" customHeight="1">
      <c r="A3523" t="inlineStr">
        <is>
          <t>A 3841-2023</t>
        </is>
      </c>
      <c r="B3523" s="1" t="n">
        <v>44951</v>
      </c>
      <c r="C3523" s="1" t="n">
        <v>45952</v>
      </c>
      <c r="D3523" t="inlineStr">
        <is>
          <t>ÖREBRO LÄN</t>
        </is>
      </c>
      <c r="E3523" t="inlineStr">
        <is>
          <t>ÖREBRO</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43661-2023</t>
        </is>
      </c>
      <c r="B3524" s="1" t="n">
        <v>45187.35303240741</v>
      </c>
      <c r="C3524" s="1" t="n">
        <v>45952</v>
      </c>
      <c r="D3524" t="inlineStr">
        <is>
          <t>ÖREBRO LÄN</t>
        </is>
      </c>
      <c r="E3524" t="inlineStr">
        <is>
          <t>KUMLA</t>
        </is>
      </c>
      <c r="G3524" t="n">
        <v>0.2</v>
      </c>
      <c r="H3524" t="n">
        <v>0</v>
      </c>
      <c r="I3524" t="n">
        <v>0</v>
      </c>
      <c r="J3524" t="n">
        <v>0</v>
      </c>
      <c r="K3524" t="n">
        <v>0</v>
      </c>
      <c r="L3524" t="n">
        <v>0</v>
      </c>
      <c r="M3524" t="n">
        <v>0</v>
      </c>
      <c r="N3524" t="n">
        <v>0</v>
      </c>
      <c r="O3524" t="n">
        <v>0</v>
      </c>
      <c r="P3524" t="n">
        <v>0</v>
      </c>
      <c r="Q3524" t="n">
        <v>0</v>
      </c>
      <c r="R3524" s="2" t="inlineStr"/>
    </row>
    <row r="3525" ht="15" customHeight="1">
      <c r="A3525" t="inlineStr">
        <is>
          <t>A 44105-2024</t>
        </is>
      </c>
      <c r="B3525" s="1" t="n">
        <v>45572.62980324074</v>
      </c>
      <c r="C3525" s="1" t="n">
        <v>45952</v>
      </c>
      <c r="D3525" t="inlineStr">
        <is>
          <t>ÖREBRO LÄN</t>
        </is>
      </c>
      <c r="E3525" t="inlineStr">
        <is>
          <t>HÄLLEFORS</t>
        </is>
      </c>
      <c r="F3525" t="inlineStr">
        <is>
          <t>Bergvik skog väst AB</t>
        </is>
      </c>
      <c r="G3525" t="n">
        <v>5.6</v>
      </c>
      <c r="H3525" t="n">
        <v>0</v>
      </c>
      <c r="I3525" t="n">
        <v>0</v>
      </c>
      <c r="J3525" t="n">
        <v>0</v>
      </c>
      <c r="K3525" t="n">
        <v>0</v>
      </c>
      <c r="L3525" t="n">
        <v>0</v>
      </c>
      <c r="M3525" t="n">
        <v>0</v>
      </c>
      <c r="N3525" t="n">
        <v>0</v>
      </c>
      <c r="O3525" t="n">
        <v>0</v>
      </c>
      <c r="P3525" t="n">
        <v>0</v>
      </c>
      <c r="Q3525" t="n">
        <v>0</v>
      </c>
      <c r="R3525" s="2" t="inlineStr"/>
    </row>
    <row r="3526" ht="15" customHeight="1">
      <c r="A3526" t="inlineStr">
        <is>
          <t>A 24416-2023</t>
        </is>
      </c>
      <c r="B3526" s="1" t="n">
        <v>45082</v>
      </c>
      <c r="C3526" s="1" t="n">
        <v>45952</v>
      </c>
      <c r="D3526" t="inlineStr">
        <is>
          <t>ÖREBRO LÄN</t>
        </is>
      </c>
      <c r="E3526" t="inlineStr">
        <is>
          <t>HALLSBERG</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40815-2024</t>
        </is>
      </c>
      <c r="B3527" s="1" t="n">
        <v>45558.55032407407</v>
      </c>
      <c r="C3527" s="1" t="n">
        <v>45952</v>
      </c>
      <c r="D3527" t="inlineStr">
        <is>
          <t>ÖREBRO LÄN</t>
        </is>
      </c>
      <c r="E3527" t="inlineStr">
        <is>
          <t>LAXÅ</t>
        </is>
      </c>
      <c r="F3527" t="inlineStr">
        <is>
          <t>Sveaskog</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50571-2024</t>
        </is>
      </c>
      <c r="B3528" s="1" t="n">
        <v>45601.60576388889</v>
      </c>
      <c r="C3528" s="1" t="n">
        <v>45952</v>
      </c>
      <c r="D3528" t="inlineStr">
        <is>
          <t>ÖREBRO LÄN</t>
        </is>
      </c>
      <c r="E3528" t="inlineStr">
        <is>
          <t>HÄLLEFORS</t>
        </is>
      </c>
      <c r="F3528" t="inlineStr">
        <is>
          <t>Bergvik skog väst AB</t>
        </is>
      </c>
      <c r="G3528" t="n">
        <v>4.6</v>
      </c>
      <c r="H3528" t="n">
        <v>0</v>
      </c>
      <c r="I3528" t="n">
        <v>0</v>
      </c>
      <c r="J3528" t="n">
        <v>0</v>
      </c>
      <c r="K3528" t="n">
        <v>0</v>
      </c>
      <c r="L3528" t="n">
        <v>0</v>
      </c>
      <c r="M3528" t="n">
        <v>0</v>
      </c>
      <c r="N3528" t="n">
        <v>0</v>
      </c>
      <c r="O3528" t="n">
        <v>0</v>
      </c>
      <c r="P3528" t="n">
        <v>0</v>
      </c>
      <c r="Q3528" t="n">
        <v>0</v>
      </c>
      <c r="R3528" s="2" t="inlineStr"/>
    </row>
    <row r="3529" ht="15" customHeight="1">
      <c r="A3529" t="inlineStr">
        <is>
          <t>A 49215-2023</t>
        </is>
      </c>
      <c r="B3529" s="1" t="n">
        <v>45210.61050925926</v>
      </c>
      <c r="C3529" s="1" t="n">
        <v>45952</v>
      </c>
      <c r="D3529" t="inlineStr">
        <is>
          <t>ÖREBRO LÄN</t>
        </is>
      </c>
      <c r="E3529" t="inlineStr">
        <is>
          <t>ÖREBRO</t>
        </is>
      </c>
      <c r="F3529" t="inlineStr">
        <is>
          <t>Övriga Aktiebolag</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42172-2025</t>
        </is>
      </c>
      <c r="B3530" s="1" t="n">
        <v>45904.4365625</v>
      </c>
      <c r="C3530" s="1" t="n">
        <v>45952</v>
      </c>
      <c r="D3530" t="inlineStr">
        <is>
          <t>ÖREBRO LÄN</t>
        </is>
      </c>
      <c r="E3530" t="inlineStr">
        <is>
          <t>ASKERSUND</t>
        </is>
      </c>
      <c r="G3530" t="n">
        <v>4.9</v>
      </c>
      <c r="H3530" t="n">
        <v>0</v>
      </c>
      <c r="I3530" t="n">
        <v>0</v>
      </c>
      <c r="J3530" t="n">
        <v>0</v>
      </c>
      <c r="K3530" t="n">
        <v>0</v>
      </c>
      <c r="L3530" t="n">
        <v>0</v>
      </c>
      <c r="M3530" t="n">
        <v>0</v>
      </c>
      <c r="N3530" t="n">
        <v>0</v>
      </c>
      <c r="O3530" t="n">
        <v>0</v>
      </c>
      <c r="P3530" t="n">
        <v>0</v>
      </c>
      <c r="Q3530" t="n">
        <v>0</v>
      </c>
      <c r="R3530" s="2" t="inlineStr"/>
    </row>
    <row r="3531" ht="15" customHeight="1">
      <c r="A3531" t="inlineStr">
        <is>
          <t>A 18938-2022</t>
        </is>
      </c>
      <c r="B3531" s="1" t="n">
        <v>44690</v>
      </c>
      <c r="C3531" s="1" t="n">
        <v>45952</v>
      </c>
      <c r="D3531" t="inlineStr">
        <is>
          <t>ÖREBRO LÄN</t>
        </is>
      </c>
      <c r="E3531" t="inlineStr">
        <is>
          <t>LJUSNARSBERG</t>
        </is>
      </c>
      <c r="F3531" t="inlineStr">
        <is>
          <t>Bergvik skog väst AB</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42630-2025</t>
        </is>
      </c>
      <c r="B3532" s="1" t="n">
        <v>45905.89143518519</v>
      </c>
      <c r="C3532" s="1" t="n">
        <v>45952</v>
      </c>
      <c r="D3532" t="inlineStr">
        <is>
          <t>ÖREBRO LÄN</t>
        </is>
      </c>
      <c r="E3532" t="inlineStr">
        <is>
          <t>LINDESBERG</t>
        </is>
      </c>
      <c r="F3532" t="inlineStr">
        <is>
          <t>Sveaskog</t>
        </is>
      </c>
      <c r="G3532" t="n">
        <v>9.9</v>
      </c>
      <c r="H3532" t="n">
        <v>0</v>
      </c>
      <c r="I3532" t="n">
        <v>0</v>
      </c>
      <c r="J3532" t="n">
        <v>0</v>
      </c>
      <c r="K3532" t="n">
        <v>0</v>
      </c>
      <c r="L3532" t="n">
        <v>0</v>
      </c>
      <c r="M3532" t="n">
        <v>0</v>
      </c>
      <c r="N3532" t="n">
        <v>0</v>
      </c>
      <c r="O3532" t="n">
        <v>0</v>
      </c>
      <c r="P3532" t="n">
        <v>0</v>
      </c>
      <c r="Q3532" t="n">
        <v>0</v>
      </c>
      <c r="R3532" s="2" t="inlineStr"/>
    </row>
    <row r="3533" ht="15" customHeight="1">
      <c r="A3533" t="inlineStr">
        <is>
          <t>A 17087-2023</t>
        </is>
      </c>
      <c r="B3533" s="1" t="n">
        <v>45034.5174537037</v>
      </c>
      <c r="C3533" s="1" t="n">
        <v>45952</v>
      </c>
      <c r="D3533" t="inlineStr">
        <is>
          <t>ÖREBRO LÄN</t>
        </is>
      </c>
      <c r="E3533" t="inlineStr">
        <is>
          <t>LINDESBERG</t>
        </is>
      </c>
      <c r="G3533" t="n">
        <v>2.7</v>
      </c>
      <c r="H3533" t="n">
        <v>0</v>
      </c>
      <c r="I3533" t="n">
        <v>0</v>
      </c>
      <c r="J3533" t="n">
        <v>0</v>
      </c>
      <c r="K3533" t="n">
        <v>0</v>
      </c>
      <c r="L3533" t="n">
        <v>0</v>
      </c>
      <c r="M3533" t="n">
        <v>0</v>
      </c>
      <c r="N3533" t="n">
        <v>0</v>
      </c>
      <c r="O3533" t="n">
        <v>0</v>
      </c>
      <c r="P3533" t="n">
        <v>0</v>
      </c>
      <c r="Q3533" t="n">
        <v>0</v>
      </c>
      <c r="R3533" s="2" t="inlineStr"/>
    </row>
    <row r="3534" ht="15" customHeight="1">
      <c r="A3534" t="inlineStr">
        <is>
          <t>A 42739-2025</t>
        </is>
      </c>
      <c r="B3534" s="1" t="n">
        <v>45908.42826388889</v>
      </c>
      <c r="C3534" s="1" t="n">
        <v>45952</v>
      </c>
      <c r="D3534" t="inlineStr">
        <is>
          <t>ÖREBRO LÄN</t>
        </is>
      </c>
      <c r="E3534" t="inlineStr">
        <is>
          <t>LAXÅ</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42741-2025</t>
        </is>
      </c>
      <c r="B3535" s="1" t="n">
        <v>45908.42994212963</v>
      </c>
      <c r="C3535" s="1" t="n">
        <v>45952</v>
      </c>
      <c r="D3535" t="inlineStr">
        <is>
          <t>ÖREBRO LÄN</t>
        </is>
      </c>
      <c r="E3535" t="inlineStr">
        <is>
          <t>LAXÅ</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28692-2022</t>
        </is>
      </c>
      <c r="B3536" s="1" t="n">
        <v>44748.73148148148</v>
      </c>
      <c r="C3536" s="1" t="n">
        <v>45952</v>
      </c>
      <c r="D3536" t="inlineStr">
        <is>
          <t>ÖREBRO LÄN</t>
        </is>
      </c>
      <c r="E3536" t="inlineStr">
        <is>
          <t>ASKERSUND</t>
        </is>
      </c>
      <c r="G3536" t="n">
        <v>10.5</v>
      </c>
      <c r="H3536" t="n">
        <v>0</v>
      </c>
      <c r="I3536" t="n">
        <v>0</v>
      </c>
      <c r="J3536" t="n">
        <v>0</v>
      </c>
      <c r="K3536" t="n">
        <v>0</v>
      </c>
      <c r="L3536" t="n">
        <v>0</v>
      </c>
      <c r="M3536" t="n">
        <v>0</v>
      </c>
      <c r="N3536" t="n">
        <v>0</v>
      </c>
      <c r="O3536" t="n">
        <v>0</v>
      </c>
      <c r="P3536" t="n">
        <v>0</v>
      </c>
      <c r="Q3536" t="n">
        <v>0</v>
      </c>
      <c r="R3536" s="2" t="inlineStr"/>
    </row>
    <row r="3537" ht="15" customHeight="1">
      <c r="A3537" t="inlineStr">
        <is>
          <t>A 3227-2025</t>
        </is>
      </c>
      <c r="B3537" s="1" t="n">
        <v>45679</v>
      </c>
      <c r="C3537" s="1" t="n">
        <v>45952</v>
      </c>
      <c r="D3537" t="inlineStr">
        <is>
          <t>ÖREBRO LÄN</t>
        </is>
      </c>
      <c r="E3537" t="inlineStr">
        <is>
          <t>KARLSKOGA</t>
        </is>
      </c>
      <c r="G3537" t="n">
        <v>4.5</v>
      </c>
      <c r="H3537" t="n">
        <v>0</v>
      </c>
      <c r="I3537" t="n">
        <v>0</v>
      </c>
      <c r="J3537" t="n">
        <v>0</v>
      </c>
      <c r="K3537" t="n">
        <v>0</v>
      </c>
      <c r="L3537" t="n">
        <v>0</v>
      </c>
      <c r="M3537" t="n">
        <v>0</v>
      </c>
      <c r="N3537" t="n">
        <v>0</v>
      </c>
      <c r="O3537" t="n">
        <v>0</v>
      </c>
      <c r="P3537" t="n">
        <v>0</v>
      </c>
      <c r="Q3537" t="n">
        <v>0</v>
      </c>
      <c r="R3537" s="2" t="inlineStr"/>
    </row>
    <row r="3538" ht="15" customHeight="1">
      <c r="A3538" t="inlineStr">
        <is>
          <t>A 27844-2025</t>
        </is>
      </c>
      <c r="B3538" s="1" t="n">
        <v>45817.39009259259</v>
      </c>
      <c r="C3538" s="1" t="n">
        <v>45952</v>
      </c>
      <c r="D3538" t="inlineStr">
        <is>
          <t>ÖREBRO LÄN</t>
        </is>
      </c>
      <c r="E3538" t="inlineStr">
        <is>
          <t>NORA</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28024-2025</t>
        </is>
      </c>
      <c r="B3539" s="1" t="n">
        <v>45817.62070601852</v>
      </c>
      <c r="C3539" s="1" t="n">
        <v>45952</v>
      </c>
      <c r="D3539" t="inlineStr">
        <is>
          <t>ÖREBRO LÄN</t>
        </is>
      </c>
      <c r="E3539" t="inlineStr">
        <is>
          <t>HÄLLEFORS</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28040-2025</t>
        </is>
      </c>
      <c r="B3540" s="1" t="n">
        <v>45817.6455324074</v>
      </c>
      <c r="C3540" s="1" t="n">
        <v>45952</v>
      </c>
      <c r="D3540" t="inlineStr">
        <is>
          <t>ÖREBRO LÄN</t>
        </is>
      </c>
      <c r="E3540" t="inlineStr">
        <is>
          <t>LINDESBERG</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61189-2022</t>
        </is>
      </c>
      <c r="B3541" s="1" t="n">
        <v>44915.51126157407</v>
      </c>
      <c r="C3541" s="1" t="n">
        <v>45952</v>
      </c>
      <c r="D3541" t="inlineStr">
        <is>
          <t>ÖREBRO LÄN</t>
        </is>
      </c>
      <c r="E3541" t="inlineStr">
        <is>
          <t>ASKERSUND</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61222-2022</t>
        </is>
      </c>
      <c r="B3542" s="1" t="n">
        <v>44909</v>
      </c>
      <c r="C3542" s="1" t="n">
        <v>45952</v>
      </c>
      <c r="D3542" t="inlineStr">
        <is>
          <t>ÖREBRO LÄN</t>
        </is>
      </c>
      <c r="E3542" t="inlineStr">
        <is>
          <t>LINDESBERG</t>
        </is>
      </c>
      <c r="G3542" t="n">
        <v>8.199999999999999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42631-2025</t>
        </is>
      </c>
      <c r="B3543" s="1" t="n">
        <v>45905.89236111111</v>
      </c>
      <c r="C3543" s="1" t="n">
        <v>45952</v>
      </c>
      <c r="D3543" t="inlineStr">
        <is>
          <t>ÖREBRO LÄN</t>
        </is>
      </c>
      <c r="E3543" t="inlineStr">
        <is>
          <t>LINDESBERG</t>
        </is>
      </c>
      <c r="F3543" t="inlineStr">
        <is>
          <t>Sveaskog</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12907-2025</t>
        </is>
      </c>
      <c r="B3544" s="1" t="n">
        <v>45733.8203587963</v>
      </c>
      <c r="C3544" s="1" t="n">
        <v>45952</v>
      </c>
      <c r="D3544" t="inlineStr">
        <is>
          <t>ÖREBRO LÄN</t>
        </is>
      </c>
      <c r="E3544" t="inlineStr">
        <is>
          <t>NORA</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27878-2025</t>
        </is>
      </c>
      <c r="B3545" s="1" t="n">
        <v>45817.443125</v>
      </c>
      <c r="C3545" s="1" t="n">
        <v>45952</v>
      </c>
      <c r="D3545" t="inlineStr">
        <is>
          <t>ÖREBRO LÄN</t>
        </is>
      </c>
      <c r="E3545" t="inlineStr">
        <is>
          <t>NORA</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44528-2021</t>
        </is>
      </c>
      <c r="B3546" s="1" t="n">
        <v>44435.62600694445</v>
      </c>
      <c r="C3546" s="1" t="n">
        <v>45952</v>
      </c>
      <c r="D3546" t="inlineStr">
        <is>
          <t>ÖREBRO LÄN</t>
        </is>
      </c>
      <c r="E3546" t="inlineStr">
        <is>
          <t>ASKERSUND</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60397-2022</t>
        </is>
      </c>
      <c r="B3547" s="1" t="n">
        <v>44910.90956018519</v>
      </c>
      <c r="C3547" s="1" t="n">
        <v>45952</v>
      </c>
      <c r="D3547" t="inlineStr">
        <is>
          <t>ÖREBRO LÄN</t>
        </is>
      </c>
      <c r="E3547" t="inlineStr">
        <is>
          <t>NORA</t>
        </is>
      </c>
      <c r="G3547" t="n">
        <v>4.4</v>
      </c>
      <c r="H3547" t="n">
        <v>0</v>
      </c>
      <c r="I3547" t="n">
        <v>0</v>
      </c>
      <c r="J3547" t="n">
        <v>0</v>
      </c>
      <c r="K3547" t="n">
        <v>0</v>
      </c>
      <c r="L3547" t="n">
        <v>0</v>
      </c>
      <c r="M3547" t="n">
        <v>0</v>
      </c>
      <c r="N3547" t="n">
        <v>0</v>
      </c>
      <c r="O3547" t="n">
        <v>0</v>
      </c>
      <c r="P3547" t="n">
        <v>0</v>
      </c>
      <c r="Q3547" t="n">
        <v>0</v>
      </c>
      <c r="R3547" s="2" t="inlineStr"/>
    </row>
    <row r="3548" ht="15" customHeight="1">
      <c r="A3548" t="inlineStr">
        <is>
          <t>A 12699-2025</t>
        </is>
      </c>
      <c r="B3548" s="1" t="n">
        <v>45733.4640625</v>
      </c>
      <c r="C3548" s="1" t="n">
        <v>45952</v>
      </c>
      <c r="D3548" t="inlineStr">
        <is>
          <t>ÖREBRO LÄN</t>
        </is>
      </c>
      <c r="E3548" t="inlineStr">
        <is>
          <t>ASKERSUND</t>
        </is>
      </c>
      <c r="F3548" t="inlineStr">
        <is>
          <t>Sveaskog</t>
        </is>
      </c>
      <c r="G3548" t="n">
        <v>6.5</v>
      </c>
      <c r="H3548" t="n">
        <v>0</v>
      </c>
      <c r="I3548" t="n">
        <v>0</v>
      </c>
      <c r="J3548" t="n">
        <v>0</v>
      </c>
      <c r="K3548" t="n">
        <v>0</v>
      </c>
      <c r="L3548" t="n">
        <v>0</v>
      </c>
      <c r="M3548" t="n">
        <v>0</v>
      </c>
      <c r="N3548" t="n">
        <v>0</v>
      </c>
      <c r="O3548" t="n">
        <v>0</v>
      </c>
      <c r="P3548" t="n">
        <v>0</v>
      </c>
      <c r="Q3548" t="n">
        <v>0</v>
      </c>
      <c r="R3548" s="2" t="inlineStr"/>
    </row>
    <row r="3549" ht="15" customHeight="1">
      <c r="A3549" t="inlineStr">
        <is>
          <t>A 43267-2024</t>
        </is>
      </c>
      <c r="B3549" s="1" t="n">
        <v>45568.37403935185</v>
      </c>
      <c r="C3549" s="1" t="n">
        <v>45952</v>
      </c>
      <c r="D3549" t="inlineStr">
        <is>
          <t>ÖREBRO LÄN</t>
        </is>
      </c>
      <c r="E3549" t="inlineStr">
        <is>
          <t>LJUSNARSBERG</t>
        </is>
      </c>
      <c r="G3549" t="n">
        <v>2.7</v>
      </c>
      <c r="H3549" t="n">
        <v>0</v>
      </c>
      <c r="I3549" t="n">
        <v>0</v>
      </c>
      <c r="J3549" t="n">
        <v>0</v>
      </c>
      <c r="K3549" t="n">
        <v>0</v>
      </c>
      <c r="L3549" t="n">
        <v>0</v>
      </c>
      <c r="M3549" t="n">
        <v>0</v>
      </c>
      <c r="N3549" t="n">
        <v>0</v>
      </c>
      <c r="O3549" t="n">
        <v>0</v>
      </c>
      <c r="P3549" t="n">
        <v>0</v>
      </c>
      <c r="Q3549" t="n">
        <v>0</v>
      </c>
      <c r="R3549" s="2" t="inlineStr"/>
    </row>
    <row r="3550" ht="15" customHeight="1">
      <c r="A3550" t="inlineStr">
        <is>
          <t>A 2799-2024</t>
        </is>
      </c>
      <c r="B3550" s="1" t="n">
        <v>45314</v>
      </c>
      <c r="C3550" s="1" t="n">
        <v>45952</v>
      </c>
      <c r="D3550" t="inlineStr">
        <is>
          <t>ÖREBRO LÄN</t>
        </is>
      </c>
      <c r="E3550" t="inlineStr">
        <is>
          <t>ASKERSUND</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17716-2025</t>
        </is>
      </c>
      <c r="B3551" s="1" t="n">
        <v>45758.44623842592</v>
      </c>
      <c r="C3551" s="1" t="n">
        <v>45952</v>
      </c>
      <c r="D3551" t="inlineStr">
        <is>
          <t>ÖREBRO LÄN</t>
        </is>
      </c>
      <c r="E3551" t="inlineStr">
        <is>
          <t>NORA</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28120-2025</t>
        </is>
      </c>
      <c r="B3552" s="1" t="n">
        <v>45818.30459490741</v>
      </c>
      <c r="C3552" s="1" t="n">
        <v>45952</v>
      </c>
      <c r="D3552" t="inlineStr">
        <is>
          <t>ÖREBRO LÄN</t>
        </is>
      </c>
      <c r="E3552" t="inlineStr">
        <is>
          <t>ÖREBRO</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51642-2025</t>
        </is>
      </c>
      <c r="B3553" s="1" t="n">
        <v>45951.44524305555</v>
      </c>
      <c r="C3553" s="1" t="n">
        <v>45952</v>
      </c>
      <c r="D3553" t="inlineStr">
        <is>
          <t>ÖREBRO LÄN</t>
        </is>
      </c>
      <c r="E3553" t="inlineStr">
        <is>
          <t>HALLSBERG</t>
        </is>
      </c>
      <c r="F3553" t="inlineStr">
        <is>
          <t>Sveaskog</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28367-2025</t>
        </is>
      </c>
      <c r="B3554" s="1" t="n">
        <v>45819</v>
      </c>
      <c r="C3554" s="1" t="n">
        <v>45952</v>
      </c>
      <c r="D3554" t="inlineStr">
        <is>
          <t>ÖREBRO LÄN</t>
        </is>
      </c>
      <c r="E3554" t="inlineStr">
        <is>
          <t>DEGERFORS</t>
        </is>
      </c>
      <c r="F3554" t="inlineStr">
        <is>
          <t>Sveaskog</t>
        </is>
      </c>
      <c r="G3554" t="n">
        <v>6.1</v>
      </c>
      <c r="H3554" t="n">
        <v>0</v>
      </c>
      <c r="I3554" t="n">
        <v>0</v>
      </c>
      <c r="J3554" t="n">
        <v>0</v>
      </c>
      <c r="K3554" t="n">
        <v>0</v>
      </c>
      <c r="L3554" t="n">
        <v>0</v>
      </c>
      <c r="M3554" t="n">
        <v>0</v>
      </c>
      <c r="N3554" t="n">
        <v>0</v>
      </c>
      <c r="O3554" t="n">
        <v>0</v>
      </c>
      <c r="P3554" t="n">
        <v>0</v>
      </c>
      <c r="Q3554" t="n">
        <v>0</v>
      </c>
      <c r="R3554" s="2" t="inlineStr"/>
    </row>
    <row r="3555" ht="15" customHeight="1">
      <c r="A3555" t="inlineStr">
        <is>
          <t>A 28368-2025</t>
        </is>
      </c>
      <c r="B3555" s="1" t="n">
        <v>45819.21581018518</v>
      </c>
      <c r="C3555" s="1" t="n">
        <v>45952</v>
      </c>
      <c r="D3555" t="inlineStr">
        <is>
          <t>ÖREBRO LÄN</t>
        </is>
      </c>
      <c r="E3555" t="inlineStr">
        <is>
          <t>DEGERFORS</t>
        </is>
      </c>
      <c r="F3555" t="inlineStr">
        <is>
          <t>Sveaskog</t>
        </is>
      </c>
      <c r="G3555" t="n">
        <v>8.1</v>
      </c>
      <c r="H3555" t="n">
        <v>0</v>
      </c>
      <c r="I3555" t="n">
        <v>0</v>
      </c>
      <c r="J3555" t="n">
        <v>0</v>
      </c>
      <c r="K3555" t="n">
        <v>0</v>
      </c>
      <c r="L3555" t="n">
        <v>0</v>
      </c>
      <c r="M3555" t="n">
        <v>0</v>
      </c>
      <c r="N3555" t="n">
        <v>0</v>
      </c>
      <c r="O3555" t="n">
        <v>0</v>
      </c>
      <c r="P3555" t="n">
        <v>0</v>
      </c>
      <c r="Q3555" t="n">
        <v>0</v>
      </c>
      <c r="R3555" s="2" t="inlineStr"/>
    </row>
    <row r="3556" ht="15" customHeight="1">
      <c r="A3556" t="inlineStr">
        <is>
          <t>A 28370-2025</t>
        </is>
      </c>
      <c r="B3556" s="1" t="n">
        <v>45819.22013888889</v>
      </c>
      <c r="C3556" s="1" t="n">
        <v>45952</v>
      </c>
      <c r="D3556" t="inlineStr">
        <is>
          <t>ÖREBRO LÄN</t>
        </is>
      </c>
      <c r="E3556" t="inlineStr">
        <is>
          <t>DEGERFORS</t>
        </is>
      </c>
      <c r="F3556" t="inlineStr">
        <is>
          <t>Sveaskog</t>
        </is>
      </c>
      <c r="G3556" t="n">
        <v>8.199999999999999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51693-2025</t>
        </is>
      </c>
      <c r="B3557" s="1" t="n">
        <v>45951.54322916667</v>
      </c>
      <c r="C3557" s="1" t="n">
        <v>45952</v>
      </c>
      <c r="D3557" t="inlineStr">
        <is>
          <t>ÖREBRO LÄN</t>
        </is>
      </c>
      <c r="E3557" t="inlineStr">
        <is>
          <t>LJUSNARSBERG</t>
        </is>
      </c>
      <c r="G3557" t="n">
        <v>10.8</v>
      </c>
      <c r="H3557" t="n">
        <v>0</v>
      </c>
      <c r="I3557" t="n">
        <v>0</v>
      </c>
      <c r="J3557" t="n">
        <v>0</v>
      </c>
      <c r="K3557" t="n">
        <v>0</v>
      </c>
      <c r="L3557" t="n">
        <v>0</v>
      </c>
      <c r="M3557" t="n">
        <v>0</v>
      </c>
      <c r="N3557" t="n">
        <v>0</v>
      </c>
      <c r="O3557" t="n">
        <v>0</v>
      </c>
      <c r="P3557" t="n">
        <v>0</v>
      </c>
      <c r="Q3557" t="n">
        <v>0</v>
      </c>
      <c r="R3557" s="2" t="inlineStr"/>
    </row>
    <row r="3558" ht="15" customHeight="1">
      <c r="A3558" t="inlineStr">
        <is>
          <t>A 46484-2024</t>
        </is>
      </c>
      <c r="B3558" s="1" t="n">
        <v>45582.57542824074</v>
      </c>
      <c r="C3558" s="1" t="n">
        <v>45952</v>
      </c>
      <c r="D3558" t="inlineStr">
        <is>
          <t>ÖREBRO LÄN</t>
        </is>
      </c>
      <c r="E3558" t="inlineStr">
        <is>
          <t>LINDESBERG</t>
        </is>
      </c>
      <c r="F3558" t="inlineStr">
        <is>
          <t>Sveaskog</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28413-2025</t>
        </is>
      </c>
      <c r="B3559" s="1" t="n">
        <v>45819.350625</v>
      </c>
      <c r="C3559" s="1" t="n">
        <v>45952</v>
      </c>
      <c r="D3559" t="inlineStr">
        <is>
          <t>ÖREBRO LÄN</t>
        </is>
      </c>
      <c r="E3559" t="inlineStr">
        <is>
          <t>ASKERSUND</t>
        </is>
      </c>
      <c r="G3559" t="n">
        <v>5.8</v>
      </c>
      <c r="H3559" t="n">
        <v>0</v>
      </c>
      <c r="I3559" t="n">
        <v>0</v>
      </c>
      <c r="J3559" t="n">
        <v>0</v>
      </c>
      <c r="K3559" t="n">
        <v>0</v>
      </c>
      <c r="L3559" t="n">
        <v>0</v>
      </c>
      <c r="M3559" t="n">
        <v>0</v>
      </c>
      <c r="N3559" t="n">
        <v>0</v>
      </c>
      <c r="O3559" t="n">
        <v>0</v>
      </c>
      <c r="P3559" t="n">
        <v>0</v>
      </c>
      <c r="Q3559" t="n">
        <v>0</v>
      </c>
      <c r="R3559" s="2" t="inlineStr"/>
    </row>
    <row r="3560" ht="15" customHeight="1">
      <c r="A3560" t="inlineStr">
        <is>
          <t>A 46580-2024</t>
        </is>
      </c>
      <c r="B3560" s="1" t="n">
        <v>45582.75087962963</v>
      </c>
      <c r="C3560" s="1" t="n">
        <v>45952</v>
      </c>
      <c r="D3560" t="inlineStr">
        <is>
          <t>ÖREBRO LÄN</t>
        </is>
      </c>
      <c r="E3560" t="inlineStr">
        <is>
          <t>HALLSBERG</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58823-2022</t>
        </is>
      </c>
      <c r="B3561" s="1" t="n">
        <v>44903</v>
      </c>
      <c r="C3561" s="1" t="n">
        <v>45952</v>
      </c>
      <c r="D3561" t="inlineStr">
        <is>
          <t>ÖREBRO LÄN</t>
        </is>
      </c>
      <c r="E3561" t="inlineStr">
        <is>
          <t>LJUSNARSBERG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43399-2022</t>
        </is>
      </c>
      <c r="B3562" s="1" t="n">
        <v>44834</v>
      </c>
      <c r="C3562" s="1" t="n">
        <v>45952</v>
      </c>
      <c r="D3562" t="inlineStr">
        <is>
          <t>ÖREBRO LÄN</t>
        </is>
      </c>
      <c r="E3562" t="inlineStr">
        <is>
          <t>ÖREBRO</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27110-2023</t>
        </is>
      </c>
      <c r="B3563" s="1" t="n">
        <v>45096.43236111111</v>
      </c>
      <c r="C3563" s="1" t="n">
        <v>45952</v>
      </c>
      <c r="D3563" t="inlineStr">
        <is>
          <t>ÖREBRO LÄN</t>
        </is>
      </c>
      <c r="E3563" t="inlineStr">
        <is>
          <t>HALLSBERG</t>
        </is>
      </c>
      <c r="G3563" t="n">
        <v>0.6</v>
      </c>
      <c r="H3563" t="n">
        <v>0</v>
      </c>
      <c r="I3563" t="n">
        <v>0</v>
      </c>
      <c r="J3563" t="n">
        <v>0</v>
      </c>
      <c r="K3563" t="n">
        <v>0</v>
      </c>
      <c r="L3563" t="n">
        <v>0</v>
      </c>
      <c r="M3563" t="n">
        <v>0</v>
      </c>
      <c r="N3563" t="n">
        <v>0</v>
      </c>
      <c r="O3563" t="n">
        <v>0</v>
      </c>
      <c r="P3563" t="n">
        <v>0</v>
      </c>
      <c r="Q3563" t="n">
        <v>0</v>
      </c>
      <c r="R3563" s="2" t="inlineStr"/>
    </row>
    <row r="3564" ht="15" customHeight="1">
      <c r="A3564" t="inlineStr">
        <is>
          <t>A 28396-2025</t>
        </is>
      </c>
      <c r="B3564" s="1" t="n">
        <v>45819.33673611111</v>
      </c>
      <c r="C3564" s="1" t="n">
        <v>45952</v>
      </c>
      <c r="D3564" t="inlineStr">
        <is>
          <t>ÖREBRO LÄN</t>
        </is>
      </c>
      <c r="E3564" t="inlineStr">
        <is>
          <t>LAXÅ</t>
        </is>
      </c>
      <c r="G3564" t="n">
        <v>1.4</v>
      </c>
      <c r="H3564" t="n">
        <v>0</v>
      </c>
      <c r="I3564" t="n">
        <v>0</v>
      </c>
      <c r="J3564" t="n">
        <v>0</v>
      </c>
      <c r="K3564" t="n">
        <v>0</v>
      </c>
      <c r="L3564" t="n">
        <v>0</v>
      </c>
      <c r="M3564" t="n">
        <v>0</v>
      </c>
      <c r="N3564" t="n">
        <v>0</v>
      </c>
      <c r="O3564" t="n">
        <v>0</v>
      </c>
      <c r="P3564" t="n">
        <v>0</v>
      </c>
      <c r="Q3564" t="n">
        <v>0</v>
      </c>
      <c r="R3564" s="2" t="inlineStr"/>
    </row>
    <row r="3565" ht="15" customHeight="1">
      <c r="A3565" t="inlineStr">
        <is>
          <t>A 56555-2024</t>
        </is>
      </c>
      <c r="B3565" s="1" t="n">
        <v>45625.57818287037</v>
      </c>
      <c r="C3565" s="1" t="n">
        <v>45952</v>
      </c>
      <c r="D3565" t="inlineStr">
        <is>
          <t>ÖREBRO LÄN</t>
        </is>
      </c>
      <c r="E3565" t="inlineStr">
        <is>
          <t>LAXÅ</t>
        </is>
      </c>
      <c r="G3565" t="n">
        <v>5.4</v>
      </c>
      <c r="H3565" t="n">
        <v>0</v>
      </c>
      <c r="I3565" t="n">
        <v>0</v>
      </c>
      <c r="J3565" t="n">
        <v>0</v>
      </c>
      <c r="K3565" t="n">
        <v>0</v>
      </c>
      <c r="L3565" t="n">
        <v>0</v>
      </c>
      <c r="M3565" t="n">
        <v>0</v>
      </c>
      <c r="N3565" t="n">
        <v>0</v>
      </c>
      <c r="O3565" t="n">
        <v>0</v>
      </c>
      <c r="P3565" t="n">
        <v>0</v>
      </c>
      <c r="Q3565" t="n">
        <v>0</v>
      </c>
      <c r="R3565" s="2" t="inlineStr"/>
    </row>
    <row r="3566" ht="15" customHeight="1">
      <c r="A3566" t="inlineStr">
        <is>
          <t>A 43078-2025</t>
        </is>
      </c>
      <c r="B3566" s="1" t="n">
        <v>45909.60773148148</v>
      </c>
      <c r="C3566" s="1" t="n">
        <v>45952</v>
      </c>
      <c r="D3566" t="inlineStr">
        <is>
          <t>ÖREBRO LÄN</t>
        </is>
      </c>
      <c r="E3566" t="inlineStr">
        <is>
          <t>LJUSNARSBERG</t>
        </is>
      </c>
      <c r="G3566" t="n">
        <v>17</v>
      </c>
      <c r="H3566" t="n">
        <v>0</v>
      </c>
      <c r="I3566" t="n">
        <v>0</v>
      </c>
      <c r="J3566" t="n">
        <v>0</v>
      </c>
      <c r="K3566" t="n">
        <v>0</v>
      </c>
      <c r="L3566" t="n">
        <v>0</v>
      </c>
      <c r="M3566" t="n">
        <v>0</v>
      </c>
      <c r="N3566" t="n">
        <v>0</v>
      </c>
      <c r="O3566" t="n">
        <v>0</v>
      </c>
      <c r="P3566" t="n">
        <v>0</v>
      </c>
      <c r="Q3566" t="n">
        <v>0</v>
      </c>
      <c r="R3566" s="2" t="inlineStr"/>
    </row>
    <row r="3567" ht="15" customHeight="1">
      <c r="A3567" t="inlineStr">
        <is>
          <t>A 28369-2025</t>
        </is>
      </c>
      <c r="B3567" s="1" t="n">
        <v>45819.21905092592</v>
      </c>
      <c r="C3567" s="1" t="n">
        <v>45952</v>
      </c>
      <c r="D3567" t="inlineStr">
        <is>
          <t>ÖREBRO LÄN</t>
        </is>
      </c>
      <c r="E3567" t="inlineStr">
        <is>
          <t>DEGERFORS</t>
        </is>
      </c>
      <c r="F3567" t="inlineStr">
        <is>
          <t>Sveaskog</t>
        </is>
      </c>
      <c r="G3567" t="n">
        <v>3.6</v>
      </c>
      <c r="H3567" t="n">
        <v>0</v>
      </c>
      <c r="I3567" t="n">
        <v>0</v>
      </c>
      <c r="J3567" t="n">
        <v>0</v>
      </c>
      <c r="K3567" t="n">
        <v>0</v>
      </c>
      <c r="L3567" t="n">
        <v>0</v>
      </c>
      <c r="M3567" t="n">
        <v>0</v>
      </c>
      <c r="N3567" t="n">
        <v>0</v>
      </c>
      <c r="O3567" t="n">
        <v>0</v>
      </c>
      <c r="P3567" t="n">
        <v>0</v>
      </c>
      <c r="Q3567" t="n">
        <v>0</v>
      </c>
      <c r="R3567" s="2" t="inlineStr"/>
    </row>
    <row r="3568" ht="15" customHeight="1">
      <c r="A3568" t="inlineStr">
        <is>
          <t>A 41576-2021</t>
        </is>
      </c>
      <c r="B3568" s="1" t="n">
        <v>44425</v>
      </c>
      <c r="C3568" s="1" t="n">
        <v>45952</v>
      </c>
      <c r="D3568" t="inlineStr">
        <is>
          <t>ÖREBRO LÄN</t>
        </is>
      </c>
      <c r="E3568" t="inlineStr">
        <is>
          <t>LINDESBERG</t>
        </is>
      </c>
      <c r="F3568" t="inlineStr">
        <is>
          <t>Sveaskog</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33617-2022</t>
        </is>
      </c>
      <c r="B3569" s="1" t="n">
        <v>44782</v>
      </c>
      <c r="C3569" s="1" t="n">
        <v>45952</v>
      </c>
      <c r="D3569" t="inlineStr">
        <is>
          <t>ÖREBRO LÄN</t>
        </is>
      </c>
      <c r="E3569" t="inlineStr">
        <is>
          <t>HÄLLEFORS</t>
        </is>
      </c>
      <c r="G3569" t="n">
        <v>8.6</v>
      </c>
      <c r="H3569" t="n">
        <v>0</v>
      </c>
      <c r="I3569" t="n">
        <v>0</v>
      </c>
      <c r="J3569" t="n">
        <v>0</v>
      </c>
      <c r="K3569" t="n">
        <v>0</v>
      </c>
      <c r="L3569" t="n">
        <v>0</v>
      </c>
      <c r="M3569" t="n">
        <v>0</v>
      </c>
      <c r="N3569" t="n">
        <v>0</v>
      </c>
      <c r="O3569" t="n">
        <v>0</v>
      </c>
      <c r="P3569" t="n">
        <v>0</v>
      </c>
      <c r="Q3569" t="n">
        <v>0</v>
      </c>
      <c r="R3569" s="2" t="inlineStr"/>
    </row>
    <row r="3570" ht="15" customHeight="1">
      <c r="A3570" t="inlineStr">
        <is>
          <t>A 28393-2025</t>
        </is>
      </c>
      <c r="B3570" s="1" t="n">
        <v>45819</v>
      </c>
      <c r="C3570" s="1" t="n">
        <v>45952</v>
      </c>
      <c r="D3570" t="inlineStr">
        <is>
          <t>ÖREBRO LÄN</t>
        </is>
      </c>
      <c r="E3570" t="inlineStr">
        <is>
          <t>LAXÅ</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28100-2024</t>
        </is>
      </c>
      <c r="B3571" s="1" t="n">
        <v>45476.61674768518</v>
      </c>
      <c r="C3571" s="1" t="n">
        <v>45952</v>
      </c>
      <c r="D3571" t="inlineStr">
        <is>
          <t>ÖREBRO LÄN</t>
        </is>
      </c>
      <c r="E3571" t="inlineStr">
        <is>
          <t>KARLSKOGA</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26185-2024</t>
        </is>
      </c>
      <c r="B3572" s="1" t="n">
        <v>45468.56267361111</v>
      </c>
      <c r="C3572" s="1" t="n">
        <v>45952</v>
      </c>
      <c r="D3572" t="inlineStr">
        <is>
          <t>ÖREBRO LÄN</t>
        </is>
      </c>
      <c r="E3572" t="inlineStr">
        <is>
          <t>DEGERFORS</t>
        </is>
      </c>
      <c r="F3572" t="inlineStr">
        <is>
          <t>Sveaskog</t>
        </is>
      </c>
      <c r="G3572" t="n">
        <v>4.6</v>
      </c>
      <c r="H3572" t="n">
        <v>0</v>
      </c>
      <c r="I3572" t="n">
        <v>0</v>
      </c>
      <c r="J3572" t="n">
        <v>0</v>
      </c>
      <c r="K3572" t="n">
        <v>0</v>
      </c>
      <c r="L3572" t="n">
        <v>0</v>
      </c>
      <c r="M3572" t="n">
        <v>0</v>
      </c>
      <c r="N3572" t="n">
        <v>0</v>
      </c>
      <c r="O3572" t="n">
        <v>0</v>
      </c>
      <c r="P3572" t="n">
        <v>0</v>
      </c>
      <c r="Q3572" t="n">
        <v>0</v>
      </c>
      <c r="R3572" s="2" t="inlineStr"/>
    </row>
    <row r="3573" ht="15" customHeight="1">
      <c r="A3573" t="inlineStr">
        <is>
          <t>A 16256-2025</t>
        </is>
      </c>
      <c r="B3573" s="1" t="n">
        <v>45750.71596064815</v>
      </c>
      <c r="C3573" s="1" t="n">
        <v>45952</v>
      </c>
      <c r="D3573" t="inlineStr">
        <is>
          <t>ÖREBRO LÄN</t>
        </is>
      </c>
      <c r="E3573" t="inlineStr">
        <is>
          <t>KARLSKOGA</t>
        </is>
      </c>
      <c r="F3573" t="inlineStr">
        <is>
          <t>Kyrkan</t>
        </is>
      </c>
      <c r="G3573" t="n">
        <v>3.5</v>
      </c>
      <c r="H3573" t="n">
        <v>0</v>
      </c>
      <c r="I3573" t="n">
        <v>0</v>
      </c>
      <c r="J3573" t="n">
        <v>0</v>
      </c>
      <c r="K3573" t="n">
        <v>0</v>
      </c>
      <c r="L3573" t="n">
        <v>0</v>
      </c>
      <c r="M3573" t="n">
        <v>0</v>
      </c>
      <c r="N3573" t="n">
        <v>0</v>
      </c>
      <c r="O3573" t="n">
        <v>0</v>
      </c>
      <c r="P3573" t="n">
        <v>0</v>
      </c>
      <c r="Q3573" t="n">
        <v>0</v>
      </c>
      <c r="R3573" s="2" t="inlineStr"/>
    </row>
    <row r="3574" ht="15" customHeight="1">
      <c r="A3574" t="inlineStr">
        <is>
          <t>A 29165-2025</t>
        </is>
      </c>
      <c r="B3574" s="1" t="n">
        <v>45821.68605324074</v>
      </c>
      <c r="C3574" s="1" t="n">
        <v>45952</v>
      </c>
      <c r="D3574" t="inlineStr">
        <is>
          <t>ÖREBRO LÄN</t>
        </is>
      </c>
      <c r="E3574" t="inlineStr">
        <is>
          <t>HALLSBERG</t>
        </is>
      </c>
      <c r="F3574" t="inlineStr">
        <is>
          <t>Sveaskog</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33186-2023</t>
        </is>
      </c>
      <c r="B3575" s="1" t="n">
        <v>45127.38172453704</v>
      </c>
      <c r="C3575" s="1" t="n">
        <v>45952</v>
      </c>
      <c r="D3575" t="inlineStr">
        <is>
          <t>ÖREBRO LÄN</t>
        </is>
      </c>
      <c r="E3575" t="inlineStr">
        <is>
          <t>LAXÅ</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29090-2025</t>
        </is>
      </c>
      <c r="B3576" s="1" t="n">
        <v>45821.54993055556</v>
      </c>
      <c r="C3576" s="1" t="n">
        <v>45952</v>
      </c>
      <c r="D3576" t="inlineStr">
        <is>
          <t>ÖREBRO LÄN</t>
        </is>
      </c>
      <c r="E3576" t="inlineStr">
        <is>
          <t>LAXÅ</t>
        </is>
      </c>
      <c r="F3576" t="inlineStr">
        <is>
          <t>Sveaskog</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29087-2025</t>
        </is>
      </c>
      <c r="B3577" s="1" t="n">
        <v>45821.54633101852</v>
      </c>
      <c r="C3577" s="1" t="n">
        <v>45952</v>
      </c>
      <c r="D3577" t="inlineStr">
        <is>
          <t>ÖREBRO LÄN</t>
        </is>
      </c>
      <c r="E3577" t="inlineStr">
        <is>
          <t>LAXÅ</t>
        </is>
      </c>
      <c r="F3577" t="inlineStr">
        <is>
          <t>Sveaskog</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29089-2025</t>
        </is>
      </c>
      <c r="B3578" s="1" t="n">
        <v>45821.54746527778</v>
      </c>
      <c r="C3578" s="1" t="n">
        <v>45952</v>
      </c>
      <c r="D3578" t="inlineStr">
        <is>
          <t>ÖREBRO LÄN</t>
        </is>
      </c>
      <c r="E3578" t="inlineStr">
        <is>
          <t>LAXÅ</t>
        </is>
      </c>
      <c r="F3578" t="inlineStr">
        <is>
          <t>Sveaskog</t>
        </is>
      </c>
      <c r="G3578" t="n">
        <v>0.2</v>
      </c>
      <c r="H3578" t="n">
        <v>0</v>
      </c>
      <c r="I3578" t="n">
        <v>0</v>
      </c>
      <c r="J3578" t="n">
        <v>0</v>
      </c>
      <c r="K3578" t="n">
        <v>0</v>
      </c>
      <c r="L3578" t="n">
        <v>0</v>
      </c>
      <c r="M3578" t="n">
        <v>0</v>
      </c>
      <c r="N3578" t="n">
        <v>0</v>
      </c>
      <c r="O3578" t="n">
        <v>0</v>
      </c>
      <c r="P3578" t="n">
        <v>0</v>
      </c>
      <c r="Q3578" t="n">
        <v>0</v>
      </c>
      <c r="R3578" s="2" t="inlineStr"/>
    </row>
    <row r="3579" ht="15" customHeight="1">
      <c r="A3579" t="inlineStr">
        <is>
          <t>A 28975-2025</t>
        </is>
      </c>
      <c r="B3579" s="1" t="n">
        <v>45821</v>
      </c>
      <c r="C3579" s="1" t="n">
        <v>45952</v>
      </c>
      <c r="D3579" t="inlineStr">
        <is>
          <t>ÖREBRO LÄN</t>
        </is>
      </c>
      <c r="E3579" t="inlineStr">
        <is>
          <t>HÄLLEFORS</t>
        </is>
      </c>
      <c r="G3579" t="n">
        <v>1.9</v>
      </c>
      <c r="H3579" t="n">
        <v>0</v>
      </c>
      <c r="I3579" t="n">
        <v>0</v>
      </c>
      <c r="J3579" t="n">
        <v>0</v>
      </c>
      <c r="K3579" t="n">
        <v>0</v>
      </c>
      <c r="L3579" t="n">
        <v>0</v>
      </c>
      <c r="M3579" t="n">
        <v>0</v>
      </c>
      <c r="N3579" t="n">
        <v>0</v>
      </c>
      <c r="O3579" t="n">
        <v>0</v>
      </c>
      <c r="P3579" t="n">
        <v>0</v>
      </c>
      <c r="Q3579" t="n">
        <v>0</v>
      </c>
      <c r="R3579" s="2" t="inlineStr"/>
    </row>
    <row r="3580" ht="15" customHeight="1">
      <c r="A3580" t="inlineStr">
        <is>
          <t>A 33262-2023</t>
        </is>
      </c>
      <c r="B3580" s="1" t="n">
        <v>45127.56380787037</v>
      </c>
      <c r="C3580" s="1" t="n">
        <v>45952</v>
      </c>
      <c r="D3580" t="inlineStr">
        <is>
          <t>ÖREBRO LÄN</t>
        </is>
      </c>
      <c r="E3580" t="inlineStr">
        <is>
          <t>LEKEBERG</t>
        </is>
      </c>
      <c r="G3580" t="n">
        <v>0.4</v>
      </c>
      <c r="H3580" t="n">
        <v>0</v>
      </c>
      <c r="I3580" t="n">
        <v>0</v>
      </c>
      <c r="J3580" t="n">
        <v>0</v>
      </c>
      <c r="K3580" t="n">
        <v>0</v>
      </c>
      <c r="L3580" t="n">
        <v>0</v>
      </c>
      <c r="M3580" t="n">
        <v>0</v>
      </c>
      <c r="N3580" t="n">
        <v>0</v>
      </c>
      <c r="O3580" t="n">
        <v>0</v>
      </c>
      <c r="P3580" t="n">
        <v>0</v>
      </c>
      <c r="Q3580" t="n">
        <v>0</v>
      </c>
      <c r="R3580" s="2" t="inlineStr"/>
    </row>
    <row r="3581" ht="15" customHeight="1">
      <c r="A3581" t="inlineStr">
        <is>
          <t>A 6763-2024</t>
        </is>
      </c>
      <c r="B3581" s="1" t="n">
        <v>45342</v>
      </c>
      <c r="C3581" s="1" t="n">
        <v>45952</v>
      </c>
      <c r="D3581" t="inlineStr">
        <is>
          <t>ÖREBRO LÄN</t>
        </is>
      </c>
      <c r="E3581" t="inlineStr">
        <is>
          <t>HALLSBERG</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28938-2025</t>
        </is>
      </c>
      <c r="B3582" s="1" t="n">
        <v>45820.70626157407</v>
      </c>
      <c r="C3582" s="1" t="n">
        <v>45952</v>
      </c>
      <c r="D3582" t="inlineStr">
        <is>
          <t>ÖREBRO LÄN</t>
        </is>
      </c>
      <c r="E3582" t="inlineStr">
        <is>
          <t>ÖREBRO</t>
        </is>
      </c>
      <c r="G3582" t="n">
        <v>1.9</v>
      </c>
      <c r="H3582" t="n">
        <v>0</v>
      </c>
      <c r="I3582" t="n">
        <v>0</v>
      </c>
      <c r="J3582" t="n">
        <v>0</v>
      </c>
      <c r="K3582" t="n">
        <v>0</v>
      </c>
      <c r="L3582" t="n">
        <v>0</v>
      </c>
      <c r="M3582" t="n">
        <v>0</v>
      </c>
      <c r="N3582" t="n">
        <v>0</v>
      </c>
      <c r="O3582" t="n">
        <v>0</v>
      </c>
      <c r="P3582" t="n">
        <v>0</v>
      </c>
      <c r="Q3582" t="n">
        <v>0</v>
      </c>
      <c r="R3582" s="2" t="inlineStr"/>
    </row>
    <row r="3583" ht="15" customHeight="1">
      <c r="A3583" t="inlineStr">
        <is>
          <t>A 28981-2025</t>
        </is>
      </c>
      <c r="B3583" s="1" t="n">
        <v>45821.35517361111</v>
      </c>
      <c r="C3583" s="1" t="n">
        <v>45952</v>
      </c>
      <c r="D3583" t="inlineStr">
        <is>
          <t>ÖREBRO LÄN</t>
        </is>
      </c>
      <c r="E3583" t="inlineStr">
        <is>
          <t>LJUSNARSBERG</t>
        </is>
      </c>
      <c r="F3583" t="inlineStr">
        <is>
          <t>Sveaskog</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29157-2025</t>
        </is>
      </c>
      <c r="B3584" s="1" t="n">
        <v>45821.65877314815</v>
      </c>
      <c r="C3584" s="1" t="n">
        <v>45952</v>
      </c>
      <c r="D3584" t="inlineStr">
        <is>
          <t>ÖREBRO LÄN</t>
        </is>
      </c>
      <c r="E3584" t="inlineStr">
        <is>
          <t>HALLSBERG</t>
        </is>
      </c>
      <c r="F3584" t="inlineStr">
        <is>
          <t>Sveaskog</t>
        </is>
      </c>
      <c r="G3584" t="n">
        <v>10.3</v>
      </c>
      <c r="H3584" t="n">
        <v>0</v>
      </c>
      <c r="I3584" t="n">
        <v>0</v>
      </c>
      <c r="J3584" t="n">
        <v>0</v>
      </c>
      <c r="K3584" t="n">
        <v>0</v>
      </c>
      <c r="L3584" t="n">
        <v>0</v>
      </c>
      <c r="M3584" t="n">
        <v>0</v>
      </c>
      <c r="N3584" t="n">
        <v>0</v>
      </c>
      <c r="O3584" t="n">
        <v>0</v>
      </c>
      <c r="P3584" t="n">
        <v>0</v>
      </c>
      <c r="Q3584" t="n">
        <v>0</v>
      </c>
      <c r="R3584" s="2" t="inlineStr"/>
    </row>
    <row r="3585" ht="15" customHeight="1">
      <c r="A3585" t="inlineStr">
        <is>
          <t>A 51249-2025</t>
        </is>
      </c>
      <c r="B3585" s="1" t="n">
        <v>45948.45704861111</v>
      </c>
      <c r="C3585" s="1" t="n">
        <v>45952</v>
      </c>
      <c r="D3585" t="inlineStr">
        <is>
          <t>ÖREBRO LÄN</t>
        </is>
      </c>
      <c r="E3585" t="inlineStr">
        <is>
          <t>ÖREBRO</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33259-2023</t>
        </is>
      </c>
      <c r="B3586" s="1" t="n">
        <v>45127.56025462963</v>
      </c>
      <c r="C3586" s="1" t="n">
        <v>45952</v>
      </c>
      <c r="D3586" t="inlineStr">
        <is>
          <t>ÖREBRO LÄN</t>
        </is>
      </c>
      <c r="E3586" t="inlineStr">
        <is>
          <t>LEKEBERG</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42738-2025</t>
        </is>
      </c>
      <c r="B3587" s="1" t="n">
        <v>45908.42685185185</v>
      </c>
      <c r="C3587" s="1" t="n">
        <v>45952</v>
      </c>
      <c r="D3587" t="inlineStr">
        <is>
          <t>ÖREBRO LÄN</t>
        </is>
      </c>
      <c r="E3587" t="inlineStr">
        <is>
          <t>LAXÅ</t>
        </is>
      </c>
      <c r="F3587" t="inlineStr">
        <is>
          <t>Sveaskog</t>
        </is>
      </c>
      <c r="G3587" t="n">
        <v>1.7</v>
      </c>
      <c r="H3587" t="n">
        <v>0</v>
      </c>
      <c r="I3587" t="n">
        <v>0</v>
      </c>
      <c r="J3587" t="n">
        <v>0</v>
      </c>
      <c r="K3587" t="n">
        <v>0</v>
      </c>
      <c r="L3587" t="n">
        <v>0</v>
      </c>
      <c r="M3587" t="n">
        <v>0</v>
      </c>
      <c r="N3587" t="n">
        <v>0</v>
      </c>
      <c r="O3587" t="n">
        <v>0</v>
      </c>
      <c r="P3587" t="n">
        <v>0</v>
      </c>
      <c r="Q3587" t="n">
        <v>0</v>
      </c>
      <c r="R3587" s="2" t="inlineStr"/>
    </row>
    <row r="3588" ht="15" customHeight="1">
      <c r="A3588" t="inlineStr">
        <is>
          <t>A 58741-2024</t>
        </is>
      </c>
      <c r="B3588" s="1" t="n">
        <v>45635.69581018519</v>
      </c>
      <c r="C3588" s="1" t="n">
        <v>45952</v>
      </c>
      <c r="D3588" t="inlineStr">
        <is>
          <t>ÖREBRO LÄN</t>
        </is>
      </c>
      <c r="E3588" t="inlineStr">
        <is>
          <t>LINDESBERG</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21649-2024</t>
        </is>
      </c>
      <c r="B3589" s="1" t="n">
        <v>45442.3671412037</v>
      </c>
      <c r="C3589" s="1" t="n">
        <v>45952</v>
      </c>
      <c r="D3589" t="inlineStr">
        <is>
          <t>ÖREBRO LÄN</t>
        </is>
      </c>
      <c r="E3589" t="inlineStr">
        <is>
          <t>DEGERFORS</t>
        </is>
      </c>
      <c r="F3589" t="inlineStr">
        <is>
          <t>Sveaskog</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28877-2025</t>
        </is>
      </c>
      <c r="B3590" s="1" t="n">
        <v>45820.61684027778</v>
      </c>
      <c r="C3590" s="1" t="n">
        <v>45952</v>
      </c>
      <c r="D3590" t="inlineStr">
        <is>
          <t>ÖREBRO LÄN</t>
        </is>
      </c>
      <c r="E3590" t="inlineStr">
        <is>
          <t>LINDESBERG</t>
        </is>
      </c>
      <c r="G3590" t="n">
        <v>4.4</v>
      </c>
      <c r="H3590" t="n">
        <v>0</v>
      </c>
      <c r="I3590" t="n">
        <v>0</v>
      </c>
      <c r="J3590" t="n">
        <v>0</v>
      </c>
      <c r="K3590" t="n">
        <v>0</v>
      </c>
      <c r="L3590" t="n">
        <v>0</v>
      </c>
      <c r="M3590" t="n">
        <v>0</v>
      </c>
      <c r="N3590" t="n">
        <v>0</v>
      </c>
      <c r="O3590" t="n">
        <v>0</v>
      </c>
      <c r="P3590" t="n">
        <v>0</v>
      </c>
      <c r="Q3590" t="n">
        <v>0</v>
      </c>
      <c r="R3590" s="2" t="inlineStr"/>
    </row>
    <row r="3591" ht="15" customHeight="1">
      <c r="A3591" t="inlineStr">
        <is>
          <t>A 42632-2025</t>
        </is>
      </c>
      <c r="B3591" s="1" t="n">
        <v>45905.89329861111</v>
      </c>
      <c r="C3591" s="1" t="n">
        <v>45952</v>
      </c>
      <c r="D3591" t="inlineStr">
        <is>
          <t>ÖREBRO LÄN</t>
        </is>
      </c>
      <c r="E3591" t="inlineStr">
        <is>
          <t>LINDESBERG</t>
        </is>
      </c>
      <c r="F3591" t="inlineStr">
        <is>
          <t>Sveaskog</t>
        </is>
      </c>
      <c r="G3591" t="n">
        <v>6.7</v>
      </c>
      <c r="H3591" t="n">
        <v>0</v>
      </c>
      <c r="I3591" t="n">
        <v>0</v>
      </c>
      <c r="J3591" t="n">
        <v>0</v>
      </c>
      <c r="K3591" t="n">
        <v>0</v>
      </c>
      <c r="L3591" t="n">
        <v>0</v>
      </c>
      <c r="M3591" t="n">
        <v>0</v>
      </c>
      <c r="N3591" t="n">
        <v>0</v>
      </c>
      <c r="O3591" t="n">
        <v>0</v>
      </c>
      <c r="P3591" t="n">
        <v>0</v>
      </c>
      <c r="Q3591" t="n">
        <v>0</v>
      </c>
      <c r="R3591" s="2" t="inlineStr"/>
    </row>
    <row r="3592" ht="15" customHeight="1">
      <c r="A3592" t="inlineStr">
        <is>
          <t>A 51248-2025</t>
        </is>
      </c>
      <c r="B3592" s="1" t="n">
        <v>45948.450625</v>
      </c>
      <c r="C3592" s="1" t="n">
        <v>45952</v>
      </c>
      <c r="D3592" t="inlineStr">
        <is>
          <t>ÖREBRO LÄN</t>
        </is>
      </c>
      <c r="E3592" t="inlineStr">
        <is>
          <t>ÖREBRO</t>
        </is>
      </c>
      <c r="G3592" t="n">
        <v>4.4</v>
      </c>
      <c r="H3592" t="n">
        <v>0</v>
      </c>
      <c r="I3592" t="n">
        <v>0</v>
      </c>
      <c r="J3592" t="n">
        <v>0</v>
      </c>
      <c r="K3592" t="n">
        <v>0</v>
      </c>
      <c r="L3592" t="n">
        <v>0</v>
      </c>
      <c r="M3592" t="n">
        <v>0</v>
      </c>
      <c r="N3592" t="n">
        <v>0</v>
      </c>
      <c r="O3592" t="n">
        <v>0</v>
      </c>
      <c r="P3592" t="n">
        <v>0</v>
      </c>
      <c r="Q3592" t="n">
        <v>0</v>
      </c>
      <c r="R3592" s="2" t="inlineStr"/>
    </row>
    <row r="3593" ht="15" customHeight="1">
      <c r="A3593" t="inlineStr">
        <is>
          <t>A 29004-2025</t>
        </is>
      </c>
      <c r="B3593" s="1" t="n">
        <v>45821.39295138889</v>
      </c>
      <c r="C3593" s="1" t="n">
        <v>45952</v>
      </c>
      <c r="D3593" t="inlineStr">
        <is>
          <t>ÖREBRO LÄN</t>
        </is>
      </c>
      <c r="E3593" t="inlineStr">
        <is>
          <t>LJUSNARSBERG</t>
        </is>
      </c>
      <c r="F3593" t="inlineStr">
        <is>
          <t>Sveaskog</t>
        </is>
      </c>
      <c r="G3593" t="n">
        <v>4.3</v>
      </c>
      <c r="H3593" t="n">
        <v>0</v>
      </c>
      <c r="I3593" t="n">
        <v>0</v>
      </c>
      <c r="J3593" t="n">
        <v>0</v>
      </c>
      <c r="K3593" t="n">
        <v>0</v>
      </c>
      <c r="L3593" t="n">
        <v>0</v>
      </c>
      <c r="M3593" t="n">
        <v>0</v>
      </c>
      <c r="N3593" t="n">
        <v>0</v>
      </c>
      <c r="O3593" t="n">
        <v>0</v>
      </c>
      <c r="P3593" t="n">
        <v>0</v>
      </c>
      <c r="Q3593" t="n">
        <v>0</v>
      </c>
      <c r="R3593" s="2" t="inlineStr"/>
    </row>
    <row r="3594" ht="15" customHeight="1">
      <c r="A3594" t="inlineStr">
        <is>
          <t>A 19553-2023</t>
        </is>
      </c>
      <c r="B3594" s="1" t="n">
        <v>45050</v>
      </c>
      <c r="C3594" s="1" t="n">
        <v>45952</v>
      </c>
      <c r="D3594" t="inlineStr">
        <is>
          <t>ÖREBRO LÄN</t>
        </is>
      </c>
      <c r="E3594" t="inlineStr">
        <is>
          <t>ÖREBRO</t>
        </is>
      </c>
      <c r="G3594" t="n">
        <v>2.1</v>
      </c>
      <c r="H3594" t="n">
        <v>0</v>
      </c>
      <c r="I3594" t="n">
        <v>0</v>
      </c>
      <c r="J3594" t="n">
        <v>0</v>
      </c>
      <c r="K3594" t="n">
        <v>0</v>
      </c>
      <c r="L3594" t="n">
        <v>0</v>
      </c>
      <c r="M3594" t="n">
        <v>0</v>
      </c>
      <c r="N3594" t="n">
        <v>0</v>
      </c>
      <c r="O3594" t="n">
        <v>0</v>
      </c>
      <c r="P3594" t="n">
        <v>0</v>
      </c>
      <c r="Q3594" t="n">
        <v>0</v>
      </c>
      <c r="R3594" s="2" t="inlineStr"/>
    </row>
    <row r="3595" ht="15" customHeight="1">
      <c r="A3595" t="inlineStr">
        <is>
          <t>A 28979-2025</t>
        </is>
      </c>
      <c r="B3595" s="1" t="n">
        <v>45821.35136574074</v>
      </c>
      <c r="C3595" s="1" t="n">
        <v>45952</v>
      </c>
      <c r="D3595" t="inlineStr">
        <is>
          <t>ÖREBRO LÄN</t>
        </is>
      </c>
      <c r="E3595" t="inlineStr">
        <is>
          <t>HÄLLEFORS</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28991-2025</t>
        </is>
      </c>
      <c r="B3596" s="1" t="n">
        <v>45821.37199074074</v>
      </c>
      <c r="C3596" s="1" t="n">
        <v>45952</v>
      </c>
      <c r="D3596" t="inlineStr">
        <is>
          <t>ÖREBRO LÄN</t>
        </is>
      </c>
      <c r="E3596" t="inlineStr">
        <is>
          <t>LINDESBERG</t>
        </is>
      </c>
      <c r="F3596" t="inlineStr">
        <is>
          <t>Sveaskog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42740-2025</t>
        </is>
      </c>
      <c r="B3597" s="1" t="n">
        <v>45908.4287962963</v>
      </c>
      <c r="C3597" s="1" t="n">
        <v>45952</v>
      </c>
      <c r="D3597" t="inlineStr">
        <is>
          <t>ÖREBRO LÄN</t>
        </is>
      </c>
      <c r="E3597" t="inlineStr">
        <is>
          <t>LAXÅ</t>
        </is>
      </c>
      <c r="F3597" t="inlineStr">
        <is>
          <t>Sveaskog</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42743-2025</t>
        </is>
      </c>
      <c r="B3598" s="1" t="n">
        <v>45908.43072916667</v>
      </c>
      <c r="C3598" s="1" t="n">
        <v>45952</v>
      </c>
      <c r="D3598" t="inlineStr">
        <is>
          <t>ÖREBRO LÄN</t>
        </is>
      </c>
      <c r="E3598" t="inlineStr">
        <is>
          <t>LAXÅ</t>
        </is>
      </c>
      <c r="F3598" t="inlineStr">
        <is>
          <t>Sveaskog</t>
        </is>
      </c>
      <c r="G3598" t="n">
        <v>2.9</v>
      </c>
      <c r="H3598" t="n">
        <v>0</v>
      </c>
      <c r="I3598" t="n">
        <v>0</v>
      </c>
      <c r="J3598" t="n">
        <v>0</v>
      </c>
      <c r="K3598" t="n">
        <v>0</v>
      </c>
      <c r="L3598" t="n">
        <v>0</v>
      </c>
      <c r="M3598" t="n">
        <v>0</v>
      </c>
      <c r="N3598" t="n">
        <v>0</v>
      </c>
      <c r="O3598" t="n">
        <v>0</v>
      </c>
      <c r="P3598" t="n">
        <v>0</v>
      </c>
      <c r="Q3598" t="n">
        <v>0</v>
      </c>
      <c r="R3598" s="2" t="inlineStr"/>
    </row>
    <row r="3599" ht="15" customHeight="1">
      <c r="A3599" t="inlineStr">
        <is>
          <t>A 29161-2025</t>
        </is>
      </c>
      <c r="B3599" s="1" t="n">
        <v>45821.66652777778</v>
      </c>
      <c r="C3599" s="1" t="n">
        <v>45952</v>
      </c>
      <c r="D3599" t="inlineStr">
        <is>
          <t>ÖREBRO LÄN</t>
        </is>
      </c>
      <c r="E3599" t="inlineStr">
        <is>
          <t>HALLSBERG</t>
        </is>
      </c>
      <c r="F3599" t="inlineStr">
        <is>
          <t>Sveaskog</t>
        </is>
      </c>
      <c r="G3599" t="n">
        <v>3.5</v>
      </c>
      <c r="H3599" t="n">
        <v>0</v>
      </c>
      <c r="I3599" t="n">
        <v>0</v>
      </c>
      <c r="J3599" t="n">
        <v>0</v>
      </c>
      <c r="K3599" t="n">
        <v>0</v>
      </c>
      <c r="L3599" t="n">
        <v>0</v>
      </c>
      <c r="M3599" t="n">
        <v>0</v>
      </c>
      <c r="N3599" t="n">
        <v>0</v>
      </c>
      <c r="O3599" t="n">
        <v>0</v>
      </c>
      <c r="P3599" t="n">
        <v>0</v>
      </c>
      <c r="Q3599" t="n">
        <v>0</v>
      </c>
      <c r="R3599" s="2" t="inlineStr"/>
    </row>
    <row r="3600" ht="15" customHeight="1">
      <c r="A3600" t="inlineStr">
        <is>
          <t>A 29164-2025</t>
        </is>
      </c>
      <c r="B3600" s="1" t="n">
        <v>45821.68314814815</v>
      </c>
      <c r="C3600" s="1" t="n">
        <v>45952</v>
      </c>
      <c r="D3600" t="inlineStr">
        <is>
          <t>ÖREBRO LÄN</t>
        </is>
      </c>
      <c r="E3600" t="inlineStr">
        <is>
          <t>HALLSBERG</t>
        </is>
      </c>
      <c r="F3600" t="inlineStr">
        <is>
          <t>Sveaskog</t>
        </is>
      </c>
      <c r="G3600" t="n">
        <v>0.7</v>
      </c>
      <c r="H3600" t="n">
        <v>0</v>
      </c>
      <c r="I3600" t="n">
        <v>0</v>
      </c>
      <c r="J3600" t="n">
        <v>0</v>
      </c>
      <c r="K3600" t="n">
        <v>0</v>
      </c>
      <c r="L3600" t="n">
        <v>0</v>
      </c>
      <c r="M3600" t="n">
        <v>0</v>
      </c>
      <c r="N3600" t="n">
        <v>0</v>
      </c>
      <c r="O3600" t="n">
        <v>0</v>
      </c>
      <c r="P3600" t="n">
        <v>0</v>
      </c>
      <c r="Q3600" t="n">
        <v>0</v>
      </c>
      <c r="R3600" s="2" t="inlineStr"/>
    </row>
    <row r="3601" ht="15" customHeight="1">
      <c r="A3601" t="inlineStr">
        <is>
          <t>A 29009-2025</t>
        </is>
      </c>
      <c r="B3601" s="1" t="n">
        <v>45821.40370370371</v>
      </c>
      <c r="C3601" s="1" t="n">
        <v>45952</v>
      </c>
      <c r="D3601" t="inlineStr">
        <is>
          <t>ÖREBRO LÄN</t>
        </is>
      </c>
      <c r="E3601" t="inlineStr">
        <is>
          <t>LJUSNARSBERG</t>
        </is>
      </c>
      <c r="F3601" t="inlineStr">
        <is>
          <t>Sveaskog</t>
        </is>
      </c>
      <c r="G3601" t="n">
        <v>8.5</v>
      </c>
      <c r="H3601" t="n">
        <v>0</v>
      </c>
      <c r="I3601" t="n">
        <v>0</v>
      </c>
      <c r="J3601" t="n">
        <v>0</v>
      </c>
      <c r="K3601" t="n">
        <v>0</v>
      </c>
      <c r="L3601" t="n">
        <v>0</v>
      </c>
      <c r="M3601" t="n">
        <v>0</v>
      </c>
      <c r="N3601" t="n">
        <v>0</v>
      </c>
      <c r="O3601" t="n">
        <v>0</v>
      </c>
      <c r="P3601" t="n">
        <v>0</v>
      </c>
      <c r="Q3601" t="n">
        <v>0</v>
      </c>
      <c r="R3601" s="2" t="inlineStr"/>
    </row>
    <row r="3602" ht="15" customHeight="1">
      <c r="A3602" t="inlineStr">
        <is>
          <t>A 29008-2025</t>
        </is>
      </c>
      <c r="B3602" s="1" t="n">
        <v>45821.39887731482</v>
      </c>
      <c r="C3602" s="1" t="n">
        <v>45952</v>
      </c>
      <c r="D3602" t="inlineStr">
        <is>
          <t>ÖREBRO LÄN</t>
        </is>
      </c>
      <c r="E3602" t="inlineStr">
        <is>
          <t>LJUSNARSBERG</t>
        </is>
      </c>
      <c r="F3602" t="inlineStr">
        <is>
          <t>Sveaskog</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29049-2025</t>
        </is>
      </c>
      <c r="B3603" s="1" t="n">
        <v>45821.46135416667</v>
      </c>
      <c r="C3603" s="1" t="n">
        <v>45952</v>
      </c>
      <c r="D3603" t="inlineStr">
        <is>
          <t>ÖREBRO LÄN</t>
        </is>
      </c>
      <c r="E3603" t="inlineStr">
        <is>
          <t>LINDESBERG</t>
        </is>
      </c>
      <c r="F3603" t="inlineStr">
        <is>
          <t>Sveaskog</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45538-2024</t>
        </is>
      </c>
      <c r="B3604" s="1" t="n">
        <v>45578</v>
      </c>
      <c r="C3604" s="1" t="n">
        <v>45952</v>
      </c>
      <c r="D3604" t="inlineStr">
        <is>
          <t>ÖREBRO LÄN</t>
        </is>
      </c>
      <c r="E3604" t="inlineStr">
        <is>
          <t>LJUSNARSBERG</t>
        </is>
      </c>
      <c r="F3604" t="inlineStr">
        <is>
          <t>Bergvik skog väst AB</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29000-2025</t>
        </is>
      </c>
      <c r="B3605" s="1" t="n">
        <v>45821.38925925926</v>
      </c>
      <c r="C3605" s="1" t="n">
        <v>45952</v>
      </c>
      <c r="D3605" t="inlineStr">
        <is>
          <t>ÖREBRO LÄN</t>
        </is>
      </c>
      <c r="E3605" t="inlineStr">
        <is>
          <t>LJUSNARSBERG</t>
        </is>
      </c>
      <c r="F3605" t="inlineStr">
        <is>
          <t>Sveaskog</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28920-2025</t>
        </is>
      </c>
      <c r="B3606" s="1" t="n">
        <v>45820.66532407407</v>
      </c>
      <c r="C3606" s="1" t="n">
        <v>45952</v>
      </c>
      <c r="D3606" t="inlineStr">
        <is>
          <t>ÖREBRO LÄN</t>
        </is>
      </c>
      <c r="E3606" t="inlineStr">
        <is>
          <t>ÖREBRO</t>
        </is>
      </c>
      <c r="G3606" t="n">
        <v>3</v>
      </c>
      <c r="H3606" t="n">
        <v>0</v>
      </c>
      <c r="I3606" t="n">
        <v>0</v>
      </c>
      <c r="J3606" t="n">
        <v>0</v>
      </c>
      <c r="K3606" t="n">
        <v>0</v>
      </c>
      <c r="L3606" t="n">
        <v>0</v>
      </c>
      <c r="M3606" t="n">
        <v>0</v>
      </c>
      <c r="N3606" t="n">
        <v>0</v>
      </c>
      <c r="O3606" t="n">
        <v>0</v>
      </c>
      <c r="P3606" t="n">
        <v>0</v>
      </c>
      <c r="Q3606" t="n">
        <v>0</v>
      </c>
      <c r="R3606" s="2" t="inlineStr"/>
    </row>
    <row r="3607" ht="15" customHeight="1">
      <c r="A3607" t="inlineStr">
        <is>
          <t>A 45539-2024</t>
        </is>
      </c>
      <c r="B3607" s="1" t="n">
        <v>45578</v>
      </c>
      <c r="C3607" s="1" t="n">
        <v>45952</v>
      </c>
      <c r="D3607" t="inlineStr">
        <is>
          <t>ÖREBRO LÄN</t>
        </is>
      </c>
      <c r="E3607" t="inlineStr">
        <is>
          <t>LJUSNARSBERG</t>
        </is>
      </c>
      <c r="F3607" t="inlineStr">
        <is>
          <t>Bergvik skog väst AB</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29051-2025</t>
        </is>
      </c>
      <c r="B3608" s="1" t="n">
        <v>45821.46486111111</v>
      </c>
      <c r="C3608" s="1" t="n">
        <v>45952</v>
      </c>
      <c r="D3608" t="inlineStr">
        <is>
          <t>ÖREBRO LÄN</t>
        </is>
      </c>
      <c r="E3608" t="inlineStr">
        <is>
          <t>LINDESBERG</t>
        </is>
      </c>
      <c r="F3608" t="inlineStr">
        <is>
          <t>Sveaskog</t>
        </is>
      </c>
      <c r="G3608" t="n">
        <v>5</v>
      </c>
      <c r="H3608" t="n">
        <v>0</v>
      </c>
      <c r="I3608" t="n">
        <v>0</v>
      </c>
      <c r="J3608" t="n">
        <v>0</v>
      </c>
      <c r="K3608" t="n">
        <v>0</v>
      </c>
      <c r="L3608" t="n">
        <v>0</v>
      </c>
      <c r="M3608" t="n">
        <v>0</v>
      </c>
      <c r="N3608" t="n">
        <v>0</v>
      </c>
      <c r="O3608" t="n">
        <v>0</v>
      </c>
      <c r="P3608" t="n">
        <v>0</v>
      </c>
      <c r="Q3608" t="n">
        <v>0</v>
      </c>
      <c r="R3608" s="2" t="inlineStr"/>
    </row>
    <row r="3609" ht="15" customHeight="1">
      <c r="A3609" t="inlineStr">
        <is>
          <t>A 48849-2023</t>
        </is>
      </c>
      <c r="B3609" s="1" t="n">
        <v>45209.43077546296</v>
      </c>
      <c r="C3609" s="1" t="n">
        <v>45952</v>
      </c>
      <c r="D3609" t="inlineStr">
        <is>
          <t>ÖREBRO LÄN</t>
        </is>
      </c>
      <c r="E3609" t="inlineStr">
        <is>
          <t>LAXÅ</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29037-2025</t>
        </is>
      </c>
      <c r="B3610" s="1" t="n">
        <v>45821.44521990741</v>
      </c>
      <c r="C3610" s="1" t="n">
        <v>45952</v>
      </c>
      <c r="D3610" t="inlineStr">
        <is>
          <t>ÖREBRO LÄN</t>
        </is>
      </c>
      <c r="E3610" t="inlineStr">
        <is>
          <t>LINDESBERG</t>
        </is>
      </c>
      <c r="F3610" t="inlineStr">
        <is>
          <t>Sveaskog</t>
        </is>
      </c>
      <c r="G3610" t="n">
        <v>3.6</v>
      </c>
      <c r="H3610" t="n">
        <v>0</v>
      </c>
      <c r="I3610" t="n">
        <v>0</v>
      </c>
      <c r="J3610" t="n">
        <v>0</v>
      </c>
      <c r="K3610" t="n">
        <v>0</v>
      </c>
      <c r="L3610" t="n">
        <v>0</v>
      </c>
      <c r="M3610" t="n">
        <v>0</v>
      </c>
      <c r="N3610" t="n">
        <v>0</v>
      </c>
      <c r="O3610" t="n">
        <v>0</v>
      </c>
      <c r="P3610" t="n">
        <v>0</v>
      </c>
      <c r="Q3610" t="n">
        <v>0</v>
      </c>
      <c r="R3610" s="2" t="inlineStr"/>
    </row>
    <row r="3611" ht="15" customHeight="1">
      <c r="A3611" t="inlineStr">
        <is>
          <t>A 37843-2025</t>
        </is>
      </c>
      <c r="B3611" s="1" t="n">
        <v>45881.43759259259</v>
      </c>
      <c r="C3611" s="1" t="n">
        <v>45952</v>
      </c>
      <c r="D3611" t="inlineStr">
        <is>
          <t>ÖREBRO LÄN</t>
        </is>
      </c>
      <c r="E3611" t="inlineStr">
        <is>
          <t>LINDESBERG</t>
        </is>
      </c>
      <c r="G3611" t="n">
        <v>5.2</v>
      </c>
      <c r="H3611" t="n">
        <v>0</v>
      </c>
      <c r="I3611" t="n">
        <v>0</v>
      </c>
      <c r="J3611" t="n">
        <v>0</v>
      </c>
      <c r="K3611" t="n">
        <v>0</v>
      </c>
      <c r="L3611" t="n">
        <v>0</v>
      </c>
      <c r="M3611" t="n">
        <v>0</v>
      </c>
      <c r="N3611" t="n">
        <v>0</v>
      </c>
      <c r="O3611" t="n">
        <v>0</v>
      </c>
      <c r="P3611" t="n">
        <v>0</v>
      </c>
      <c r="Q3611" t="n">
        <v>0</v>
      </c>
      <c r="R3611" s="2" t="inlineStr"/>
    </row>
    <row r="3612" ht="15" customHeight="1">
      <c r="A3612" t="inlineStr">
        <is>
          <t>A 29339-2025</t>
        </is>
      </c>
      <c r="B3612" s="1" t="n">
        <v>45824.5044212963</v>
      </c>
      <c r="C3612" s="1" t="n">
        <v>45952</v>
      </c>
      <c r="D3612" t="inlineStr">
        <is>
          <t>ÖREBRO LÄN</t>
        </is>
      </c>
      <c r="E3612" t="inlineStr">
        <is>
          <t>ÖREBRO</t>
        </is>
      </c>
      <c r="G3612" t="n">
        <v>4.3</v>
      </c>
      <c r="H3612" t="n">
        <v>0</v>
      </c>
      <c r="I3612" t="n">
        <v>0</v>
      </c>
      <c r="J3612" t="n">
        <v>0</v>
      </c>
      <c r="K3612" t="n">
        <v>0</v>
      </c>
      <c r="L3612" t="n">
        <v>0</v>
      </c>
      <c r="M3612" t="n">
        <v>0</v>
      </c>
      <c r="N3612" t="n">
        <v>0</v>
      </c>
      <c r="O3612" t="n">
        <v>0</v>
      </c>
      <c r="P3612" t="n">
        <v>0</v>
      </c>
      <c r="Q3612" t="n">
        <v>0</v>
      </c>
      <c r="R3612" s="2" t="inlineStr"/>
    </row>
    <row r="3613" ht="15" customHeight="1">
      <c r="A3613" t="inlineStr">
        <is>
          <t>A 60059-2023</t>
        </is>
      </c>
      <c r="B3613" s="1" t="n">
        <v>45258.38157407408</v>
      </c>
      <c r="C3613" s="1" t="n">
        <v>45952</v>
      </c>
      <c r="D3613" t="inlineStr">
        <is>
          <t>ÖREBRO LÄN</t>
        </is>
      </c>
      <c r="E3613" t="inlineStr">
        <is>
          <t>ÖREBRO</t>
        </is>
      </c>
      <c r="G3613" t="n">
        <v>4</v>
      </c>
      <c r="H3613" t="n">
        <v>0</v>
      </c>
      <c r="I3613" t="n">
        <v>0</v>
      </c>
      <c r="J3613" t="n">
        <v>0</v>
      </c>
      <c r="K3613" t="n">
        <v>0</v>
      </c>
      <c r="L3613" t="n">
        <v>0</v>
      </c>
      <c r="M3613" t="n">
        <v>0</v>
      </c>
      <c r="N3613" t="n">
        <v>0</v>
      </c>
      <c r="O3613" t="n">
        <v>0</v>
      </c>
      <c r="P3613" t="n">
        <v>0</v>
      </c>
      <c r="Q3613" t="n">
        <v>0</v>
      </c>
      <c r="R3613" s="2" t="inlineStr"/>
    </row>
    <row r="3614" ht="15" customHeight="1">
      <c r="A3614" t="inlineStr">
        <is>
          <t>A 26858-2024</t>
        </is>
      </c>
      <c r="B3614" s="1" t="n">
        <v>45470</v>
      </c>
      <c r="C3614" s="1" t="n">
        <v>45952</v>
      </c>
      <c r="D3614" t="inlineStr">
        <is>
          <t>ÖREBRO LÄN</t>
        </is>
      </c>
      <c r="E3614" t="inlineStr">
        <is>
          <t>ÖREBRO</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51462-2025</t>
        </is>
      </c>
      <c r="B3615" s="1" t="n">
        <v>45950.6081712963</v>
      </c>
      <c r="C3615" s="1" t="n">
        <v>45952</v>
      </c>
      <c r="D3615" t="inlineStr">
        <is>
          <t>ÖREBRO LÄN</t>
        </is>
      </c>
      <c r="E3615" t="inlineStr">
        <is>
          <t>LAXÅ</t>
        </is>
      </c>
      <c r="F3615" t="inlineStr">
        <is>
          <t>Sveaskog</t>
        </is>
      </c>
      <c r="G3615" t="n">
        <v>2.5</v>
      </c>
      <c r="H3615" t="n">
        <v>0</v>
      </c>
      <c r="I3615" t="n">
        <v>0</v>
      </c>
      <c r="J3615" t="n">
        <v>0</v>
      </c>
      <c r="K3615" t="n">
        <v>0</v>
      </c>
      <c r="L3615" t="n">
        <v>0</v>
      </c>
      <c r="M3615" t="n">
        <v>0</v>
      </c>
      <c r="N3615" t="n">
        <v>0</v>
      </c>
      <c r="O3615" t="n">
        <v>0</v>
      </c>
      <c r="P3615" t="n">
        <v>0</v>
      </c>
      <c r="Q3615" t="n">
        <v>0</v>
      </c>
      <c r="R3615" s="2" t="inlineStr"/>
    </row>
    <row r="3616" ht="15" customHeight="1">
      <c r="A3616" t="inlineStr">
        <is>
          <t>A 29800-2025</t>
        </is>
      </c>
      <c r="B3616" s="1" t="n">
        <v>45825.69447916667</v>
      </c>
      <c r="C3616" s="1" t="n">
        <v>45952</v>
      </c>
      <c r="D3616" t="inlineStr">
        <is>
          <t>ÖREBRO LÄN</t>
        </is>
      </c>
      <c r="E3616" t="inlineStr">
        <is>
          <t>ASKERSUND</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29802-2025</t>
        </is>
      </c>
      <c r="B3617" s="1" t="n">
        <v>45825.6991550926</v>
      </c>
      <c r="C3617" s="1" t="n">
        <v>45952</v>
      </c>
      <c r="D3617" t="inlineStr">
        <is>
          <t>ÖREBRO LÄN</t>
        </is>
      </c>
      <c r="E3617" t="inlineStr">
        <is>
          <t>ASKERSUND</t>
        </is>
      </c>
      <c r="G3617" t="n">
        <v>5.3</v>
      </c>
      <c r="H3617" t="n">
        <v>0</v>
      </c>
      <c r="I3617" t="n">
        <v>0</v>
      </c>
      <c r="J3617" t="n">
        <v>0</v>
      </c>
      <c r="K3617" t="n">
        <v>0</v>
      </c>
      <c r="L3617" t="n">
        <v>0</v>
      </c>
      <c r="M3617" t="n">
        <v>0</v>
      </c>
      <c r="N3617" t="n">
        <v>0</v>
      </c>
      <c r="O3617" t="n">
        <v>0</v>
      </c>
      <c r="P3617" t="n">
        <v>0</v>
      </c>
      <c r="Q3617" t="n">
        <v>0</v>
      </c>
      <c r="R3617" s="2" t="inlineStr"/>
    </row>
    <row r="3618" ht="15" customHeight="1">
      <c r="A3618" t="inlineStr">
        <is>
          <t>A 29701-2025</t>
        </is>
      </c>
      <c r="B3618" s="1" t="n">
        <v>45825.55261574074</v>
      </c>
      <c r="C3618" s="1" t="n">
        <v>45952</v>
      </c>
      <c r="D3618" t="inlineStr">
        <is>
          <t>ÖREBRO LÄN</t>
        </is>
      </c>
      <c r="E3618" t="inlineStr">
        <is>
          <t>ÖREBRO</t>
        </is>
      </c>
      <c r="G3618" t="n">
        <v>5.8</v>
      </c>
      <c r="H3618" t="n">
        <v>0</v>
      </c>
      <c r="I3618" t="n">
        <v>0</v>
      </c>
      <c r="J3618" t="n">
        <v>0</v>
      </c>
      <c r="K3618" t="n">
        <v>0</v>
      </c>
      <c r="L3618" t="n">
        <v>0</v>
      </c>
      <c r="M3618" t="n">
        <v>0</v>
      </c>
      <c r="N3618" t="n">
        <v>0</v>
      </c>
      <c r="O3618" t="n">
        <v>0</v>
      </c>
      <c r="P3618" t="n">
        <v>0</v>
      </c>
      <c r="Q3618" t="n">
        <v>0</v>
      </c>
      <c r="R3618" s="2" t="inlineStr"/>
    </row>
    <row r="3619" ht="15" customHeight="1">
      <c r="A3619" t="inlineStr">
        <is>
          <t>A 29572-2025</t>
        </is>
      </c>
      <c r="B3619" s="1" t="n">
        <v>45825.36898148148</v>
      </c>
      <c r="C3619" s="1" t="n">
        <v>45952</v>
      </c>
      <c r="D3619" t="inlineStr">
        <is>
          <t>ÖREBRO LÄN</t>
        </is>
      </c>
      <c r="E3619" t="inlineStr">
        <is>
          <t>LJUSNARSBERG</t>
        </is>
      </c>
      <c r="F3619" t="inlineStr">
        <is>
          <t>Bergvik skog väst AB</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33692-2023</t>
        </is>
      </c>
      <c r="B3620" s="1" t="n">
        <v>45132.69987268518</v>
      </c>
      <c r="C3620" s="1" t="n">
        <v>45952</v>
      </c>
      <c r="D3620" t="inlineStr">
        <is>
          <t>ÖREBRO LÄN</t>
        </is>
      </c>
      <c r="E3620" t="inlineStr">
        <is>
          <t>LAXÅ</t>
        </is>
      </c>
      <c r="G3620" t="n">
        <v>3.6</v>
      </c>
      <c r="H3620" t="n">
        <v>0</v>
      </c>
      <c r="I3620" t="n">
        <v>0</v>
      </c>
      <c r="J3620" t="n">
        <v>0</v>
      </c>
      <c r="K3620" t="n">
        <v>0</v>
      </c>
      <c r="L3620" t="n">
        <v>0</v>
      </c>
      <c r="M3620" t="n">
        <v>0</v>
      </c>
      <c r="N3620" t="n">
        <v>0</v>
      </c>
      <c r="O3620" t="n">
        <v>0</v>
      </c>
      <c r="P3620" t="n">
        <v>0</v>
      </c>
      <c r="Q3620" t="n">
        <v>0</v>
      </c>
      <c r="R3620" s="2" t="inlineStr"/>
    </row>
    <row r="3621" ht="15" customHeight="1">
      <c r="A3621" t="inlineStr">
        <is>
          <t>A 33696-2023</t>
        </is>
      </c>
      <c r="B3621" s="1" t="n">
        <v>45132.71356481482</v>
      </c>
      <c r="C3621" s="1" t="n">
        <v>45952</v>
      </c>
      <c r="D3621" t="inlineStr">
        <is>
          <t>ÖREBRO LÄN</t>
        </is>
      </c>
      <c r="E3621" t="inlineStr">
        <is>
          <t>LAXÅ</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62939-2020</t>
        </is>
      </c>
      <c r="B3622" s="1" t="n">
        <v>44161</v>
      </c>
      <c r="C3622" s="1" t="n">
        <v>45952</v>
      </c>
      <c r="D3622" t="inlineStr">
        <is>
          <t>ÖREBRO LÄN</t>
        </is>
      </c>
      <c r="E3622" t="inlineStr">
        <is>
          <t>HALLSBERG</t>
        </is>
      </c>
      <c r="G3622" t="n">
        <v>3.7</v>
      </c>
      <c r="H3622" t="n">
        <v>0</v>
      </c>
      <c r="I3622" t="n">
        <v>0</v>
      </c>
      <c r="J3622" t="n">
        <v>0</v>
      </c>
      <c r="K3622" t="n">
        <v>0</v>
      </c>
      <c r="L3622" t="n">
        <v>0</v>
      </c>
      <c r="M3622" t="n">
        <v>0</v>
      </c>
      <c r="N3622" t="n">
        <v>0</v>
      </c>
      <c r="O3622" t="n">
        <v>0</v>
      </c>
      <c r="P3622" t="n">
        <v>0</v>
      </c>
      <c r="Q3622" t="n">
        <v>0</v>
      </c>
      <c r="R3622" s="2" t="inlineStr"/>
    </row>
    <row r="3623" ht="15" customHeight="1">
      <c r="A3623" t="inlineStr">
        <is>
          <t>A 29020-2025</t>
        </is>
      </c>
      <c r="B3623" s="1" t="n">
        <v>45821.42728009259</v>
      </c>
      <c r="C3623" s="1" t="n">
        <v>45952</v>
      </c>
      <c r="D3623" t="inlineStr">
        <is>
          <t>ÖREBRO LÄN</t>
        </is>
      </c>
      <c r="E3623" t="inlineStr">
        <is>
          <t>LJUSNARSBERG</t>
        </is>
      </c>
      <c r="F3623" t="inlineStr">
        <is>
          <t>Sveaskog</t>
        </is>
      </c>
      <c r="G3623" t="n">
        <v>3</v>
      </c>
      <c r="H3623" t="n">
        <v>0</v>
      </c>
      <c r="I3623" t="n">
        <v>0</v>
      </c>
      <c r="J3623" t="n">
        <v>0</v>
      </c>
      <c r="K3623" t="n">
        <v>0</v>
      </c>
      <c r="L3623" t="n">
        <v>0</v>
      </c>
      <c r="M3623" t="n">
        <v>0</v>
      </c>
      <c r="N3623" t="n">
        <v>0</v>
      </c>
      <c r="O3623" t="n">
        <v>0</v>
      </c>
      <c r="P3623" t="n">
        <v>0</v>
      </c>
      <c r="Q3623" t="n">
        <v>0</v>
      </c>
      <c r="R3623" s="2" t="inlineStr"/>
    </row>
    <row r="3624" ht="15" customHeight="1">
      <c r="A3624" t="inlineStr">
        <is>
          <t>A 29773-2025</t>
        </is>
      </c>
      <c r="B3624" s="1" t="n">
        <v>45825.63271990741</v>
      </c>
      <c r="C3624" s="1" t="n">
        <v>45952</v>
      </c>
      <c r="D3624" t="inlineStr">
        <is>
          <t>ÖREBRO LÄN</t>
        </is>
      </c>
      <c r="E3624" t="inlineStr">
        <is>
          <t>LEKEBERG</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29669-2025</t>
        </is>
      </c>
      <c r="B3625" s="1" t="n">
        <v>45825.49673611111</v>
      </c>
      <c r="C3625" s="1" t="n">
        <v>45952</v>
      </c>
      <c r="D3625" t="inlineStr">
        <is>
          <t>ÖREBRO LÄN</t>
        </is>
      </c>
      <c r="E3625" t="inlineStr">
        <is>
          <t>NORA</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27659-2025</t>
        </is>
      </c>
      <c r="B3626" s="1" t="n">
        <v>45813</v>
      </c>
      <c r="C3626" s="1" t="n">
        <v>45952</v>
      </c>
      <c r="D3626" t="inlineStr">
        <is>
          <t>ÖREBRO LÄN</t>
        </is>
      </c>
      <c r="E3626" t="inlineStr">
        <is>
          <t>HALLSBERG</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29286-2025</t>
        </is>
      </c>
      <c r="B3627" s="1" t="n">
        <v>45824.43502314815</v>
      </c>
      <c r="C3627" s="1" t="n">
        <v>45952</v>
      </c>
      <c r="D3627" t="inlineStr">
        <is>
          <t>ÖREBRO LÄN</t>
        </is>
      </c>
      <c r="E3627" t="inlineStr">
        <is>
          <t>ÖREBRO</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14291-2023</t>
        </is>
      </c>
      <c r="B3628" s="1" t="n">
        <v>45010</v>
      </c>
      <c r="C3628" s="1" t="n">
        <v>45952</v>
      </c>
      <c r="D3628" t="inlineStr">
        <is>
          <t>ÖREBRO LÄN</t>
        </is>
      </c>
      <c r="E3628" t="inlineStr">
        <is>
          <t>ÖREBRO</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30384-2025</t>
        </is>
      </c>
      <c r="B3629" s="1" t="n">
        <v>45827.57152777778</v>
      </c>
      <c r="C3629" s="1" t="n">
        <v>45952</v>
      </c>
      <c r="D3629" t="inlineStr">
        <is>
          <t>ÖREBRO LÄN</t>
        </is>
      </c>
      <c r="E3629" t="inlineStr">
        <is>
          <t>LAXÅ</t>
        </is>
      </c>
      <c r="F3629" t="inlineStr">
        <is>
          <t>Sveaskog</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30341-2025</t>
        </is>
      </c>
      <c r="B3630" s="1" t="n">
        <v>45827.51862268519</v>
      </c>
      <c r="C3630" s="1" t="n">
        <v>45952</v>
      </c>
      <c r="D3630" t="inlineStr">
        <is>
          <t>ÖREBRO LÄN</t>
        </is>
      </c>
      <c r="E3630" t="inlineStr">
        <is>
          <t>LINDESBERG</t>
        </is>
      </c>
      <c r="F3630" t="inlineStr">
        <is>
          <t>Sveaskog</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30000-2025</t>
        </is>
      </c>
      <c r="B3631" s="1" t="n">
        <v>45826.52024305556</v>
      </c>
      <c r="C3631" s="1" t="n">
        <v>45952</v>
      </c>
      <c r="D3631" t="inlineStr">
        <is>
          <t>ÖREBRO LÄN</t>
        </is>
      </c>
      <c r="E3631" t="inlineStr">
        <is>
          <t>LINDESBERG</t>
        </is>
      </c>
      <c r="F3631" t="inlineStr">
        <is>
          <t>Sveaskog</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32038-2024</t>
        </is>
      </c>
      <c r="B3632" s="1" t="n">
        <v>45510</v>
      </c>
      <c r="C3632" s="1" t="n">
        <v>45952</v>
      </c>
      <c r="D3632" t="inlineStr">
        <is>
          <t>ÖREBRO LÄN</t>
        </is>
      </c>
      <c r="E3632" t="inlineStr">
        <is>
          <t>ASKERSUND</t>
        </is>
      </c>
      <c r="G3632" t="n">
        <v>0.9</v>
      </c>
      <c r="H3632" t="n">
        <v>0</v>
      </c>
      <c r="I3632" t="n">
        <v>0</v>
      </c>
      <c r="J3632" t="n">
        <v>0</v>
      </c>
      <c r="K3632" t="n">
        <v>0</v>
      </c>
      <c r="L3632" t="n">
        <v>0</v>
      </c>
      <c r="M3632" t="n">
        <v>0</v>
      </c>
      <c r="N3632" t="n">
        <v>0</v>
      </c>
      <c r="O3632" t="n">
        <v>0</v>
      </c>
      <c r="P3632" t="n">
        <v>0</v>
      </c>
      <c r="Q3632" t="n">
        <v>0</v>
      </c>
      <c r="R3632" s="2" t="inlineStr"/>
    </row>
    <row r="3633" ht="15" customHeight="1">
      <c r="A3633" t="inlineStr">
        <is>
          <t>A 58527-2024</t>
        </is>
      </c>
      <c r="B3633" s="1" t="n">
        <v>45635.44388888889</v>
      </c>
      <c r="C3633" s="1" t="n">
        <v>45952</v>
      </c>
      <c r="D3633" t="inlineStr">
        <is>
          <t>ÖREBRO LÄN</t>
        </is>
      </c>
      <c r="E3633" t="inlineStr">
        <is>
          <t>ÖREBRO</t>
        </is>
      </c>
      <c r="F3633" t="inlineStr">
        <is>
          <t>Sveaskog</t>
        </is>
      </c>
      <c r="G3633" t="n">
        <v>6.4</v>
      </c>
      <c r="H3633" t="n">
        <v>0</v>
      </c>
      <c r="I3633" t="n">
        <v>0</v>
      </c>
      <c r="J3633" t="n">
        <v>0</v>
      </c>
      <c r="K3633" t="n">
        <v>0</v>
      </c>
      <c r="L3633" t="n">
        <v>0</v>
      </c>
      <c r="M3633" t="n">
        <v>0</v>
      </c>
      <c r="N3633" t="n">
        <v>0</v>
      </c>
      <c r="O3633" t="n">
        <v>0</v>
      </c>
      <c r="P3633" t="n">
        <v>0</v>
      </c>
      <c r="Q3633" t="n">
        <v>0</v>
      </c>
      <c r="R3633" s="2" t="inlineStr"/>
    </row>
    <row r="3634" ht="15" customHeight="1">
      <c r="A3634" t="inlineStr">
        <is>
          <t>A 33774-2022</t>
        </is>
      </c>
      <c r="B3634" s="1" t="n">
        <v>44790.37331018518</v>
      </c>
      <c r="C3634" s="1" t="n">
        <v>45952</v>
      </c>
      <c r="D3634" t="inlineStr">
        <is>
          <t>ÖREBRO LÄN</t>
        </is>
      </c>
      <c r="E3634" t="inlineStr">
        <is>
          <t>LAXÅ</t>
        </is>
      </c>
      <c r="F3634" t="inlineStr">
        <is>
          <t>Sveaskog</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34594-2022</t>
        </is>
      </c>
      <c r="B3635" s="1" t="n">
        <v>44795</v>
      </c>
      <c r="C3635" s="1" t="n">
        <v>45952</v>
      </c>
      <c r="D3635" t="inlineStr">
        <is>
          <t>ÖREBRO LÄN</t>
        </is>
      </c>
      <c r="E3635" t="inlineStr">
        <is>
          <t>LAXÅ</t>
        </is>
      </c>
      <c r="G3635" t="n">
        <v>2.1</v>
      </c>
      <c r="H3635" t="n">
        <v>0</v>
      </c>
      <c r="I3635" t="n">
        <v>0</v>
      </c>
      <c r="J3635" t="n">
        <v>0</v>
      </c>
      <c r="K3635" t="n">
        <v>0</v>
      </c>
      <c r="L3635" t="n">
        <v>0</v>
      </c>
      <c r="M3635" t="n">
        <v>0</v>
      </c>
      <c r="N3635" t="n">
        <v>0</v>
      </c>
      <c r="O3635" t="n">
        <v>0</v>
      </c>
      <c r="P3635" t="n">
        <v>0</v>
      </c>
      <c r="Q3635" t="n">
        <v>0</v>
      </c>
      <c r="R3635" s="2" t="inlineStr"/>
    </row>
    <row r="3636" ht="15" customHeight="1">
      <c r="A3636" t="inlineStr">
        <is>
          <t>A 55212-2021</t>
        </is>
      </c>
      <c r="B3636" s="1" t="n">
        <v>44475</v>
      </c>
      <c r="C3636" s="1" t="n">
        <v>45952</v>
      </c>
      <c r="D3636" t="inlineStr">
        <is>
          <t>ÖREBRO LÄN</t>
        </is>
      </c>
      <c r="E3636" t="inlineStr">
        <is>
          <t>LAXÅ</t>
        </is>
      </c>
      <c r="F3636" t="inlineStr">
        <is>
          <t>Sveaskog</t>
        </is>
      </c>
      <c r="G3636" t="n">
        <v>3.3</v>
      </c>
      <c r="H3636" t="n">
        <v>0</v>
      </c>
      <c r="I3636" t="n">
        <v>0</v>
      </c>
      <c r="J3636" t="n">
        <v>0</v>
      </c>
      <c r="K3636" t="n">
        <v>0</v>
      </c>
      <c r="L3636" t="n">
        <v>0</v>
      </c>
      <c r="M3636" t="n">
        <v>0</v>
      </c>
      <c r="N3636" t="n">
        <v>0</v>
      </c>
      <c r="O3636" t="n">
        <v>0</v>
      </c>
      <c r="P3636" t="n">
        <v>0</v>
      </c>
      <c r="Q3636" t="n">
        <v>0</v>
      </c>
      <c r="R3636" s="2" t="inlineStr"/>
    </row>
    <row r="3637" ht="15" customHeight="1">
      <c r="A3637" t="inlineStr">
        <is>
          <t>A 55214-2021</t>
        </is>
      </c>
      <c r="B3637" s="1" t="n">
        <v>44475.37439814815</v>
      </c>
      <c r="C3637" s="1" t="n">
        <v>45952</v>
      </c>
      <c r="D3637" t="inlineStr">
        <is>
          <t>ÖREBRO LÄN</t>
        </is>
      </c>
      <c r="E3637" t="inlineStr">
        <is>
          <t>LAXÅ</t>
        </is>
      </c>
      <c r="F3637" t="inlineStr">
        <is>
          <t>Sveaskog</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55593-2022</t>
        </is>
      </c>
      <c r="B3638" s="1" t="n">
        <v>44888</v>
      </c>
      <c r="C3638" s="1" t="n">
        <v>45952</v>
      </c>
      <c r="D3638" t="inlineStr">
        <is>
          <t>ÖREBRO LÄN</t>
        </is>
      </c>
      <c r="E3638" t="inlineStr">
        <is>
          <t>ÖREBRO</t>
        </is>
      </c>
      <c r="G3638" t="n">
        <v>3.6</v>
      </c>
      <c r="H3638" t="n">
        <v>0</v>
      </c>
      <c r="I3638" t="n">
        <v>0</v>
      </c>
      <c r="J3638" t="n">
        <v>0</v>
      </c>
      <c r="K3638" t="n">
        <v>0</v>
      </c>
      <c r="L3638" t="n">
        <v>0</v>
      </c>
      <c r="M3638" t="n">
        <v>0</v>
      </c>
      <c r="N3638" t="n">
        <v>0</v>
      </c>
      <c r="O3638" t="n">
        <v>0</v>
      </c>
      <c r="P3638" t="n">
        <v>0</v>
      </c>
      <c r="Q3638" t="n">
        <v>0</v>
      </c>
      <c r="R3638" s="2" t="inlineStr"/>
    </row>
    <row r="3639" ht="15" customHeight="1">
      <c r="A3639" t="inlineStr">
        <is>
          <t>A 57515-2023</t>
        </is>
      </c>
      <c r="B3639" s="1" t="n">
        <v>45240</v>
      </c>
      <c r="C3639" s="1" t="n">
        <v>45952</v>
      </c>
      <c r="D3639" t="inlineStr">
        <is>
          <t>ÖREBRO LÄN</t>
        </is>
      </c>
      <c r="E3639" t="inlineStr">
        <is>
          <t>LAXÅ</t>
        </is>
      </c>
      <c r="G3639" t="n">
        <v>3.2</v>
      </c>
      <c r="H3639" t="n">
        <v>0</v>
      </c>
      <c r="I3639" t="n">
        <v>0</v>
      </c>
      <c r="J3639" t="n">
        <v>0</v>
      </c>
      <c r="K3639" t="n">
        <v>0</v>
      </c>
      <c r="L3639" t="n">
        <v>0</v>
      </c>
      <c r="M3639" t="n">
        <v>0</v>
      </c>
      <c r="N3639" t="n">
        <v>0</v>
      </c>
      <c r="O3639" t="n">
        <v>0</v>
      </c>
      <c r="P3639" t="n">
        <v>0</v>
      </c>
      <c r="Q3639" t="n">
        <v>0</v>
      </c>
      <c r="R3639" s="2" t="inlineStr"/>
    </row>
    <row r="3640" ht="15" customHeight="1">
      <c r="A3640" t="inlineStr">
        <is>
          <t>A 50863-2024</t>
        </is>
      </c>
      <c r="B3640" s="1" t="n">
        <v>45602.63560185185</v>
      </c>
      <c r="C3640" s="1" t="n">
        <v>45952</v>
      </c>
      <c r="D3640" t="inlineStr">
        <is>
          <t>ÖREBRO LÄN</t>
        </is>
      </c>
      <c r="E3640" t="inlineStr">
        <is>
          <t>KARLSKOGA</t>
        </is>
      </c>
      <c r="F3640" t="inlineStr">
        <is>
          <t>Kyrkan</t>
        </is>
      </c>
      <c r="G3640" t="n">
        <v>8.1</v>
      </c>
      <c r="H3640" t="n">
        <v>0</v>
      </c>
      <c r="I3640" t="n">
        <v>0</v>
      </c>
      <c r="J3640" t="n">
        <v>0</v>
      </c>
      <c r="K3640" t="n">
        <v>0</v>
      </c>
      <c r="L3640" t="n">
        <v>0</v>
      </c>
      <c r="M3640" t="n">
        <v>0</v>
      </c>
      <c r="N3640" t="n">
        <v>0</v>
      </c>
      <c r="O3640" t="n">
        <v>0</v>
      </c>
      <c r="P3640" t="n">
        <v>0</v>
      </c>
      <c r="Q3640" t="n">
        <v>0</v>
      </c>
      <c r="R3640" s="2" t="inlineStr"/>
    </row>
    <row r="3641" ht="15" customHeight="1">
      <c r="A3641" t="inlineStr">
        <is>
          <t>A 12801-2025</t>
        </is>
      </c>
      <c r="B3641" s="1" t="n">
        <v>45733.61251157407</v>
      </c>
      <c r="C3641" s="1" t="n">
        <v>45952</v>
      </c>
      <c r="D3641" t="inlineStr">
        <is>
          <t>ÖREBRO LÄN</t>
        </is>
      </c>
      <c r="E3641" t="inlineStr">
        <is>
          <t>ASKERSUND</t>
        </is>
      </c>
      <c r="G3641" t="n">
        <v>4.2</v>
      </c>
      <c r="H3641" t="n">
        <v>0</v>
      </c>
      <c r="I3641" t="n">
        <v>0</v>
      </c>
      <c r="J3641" t="n">
        <v>0</v>
      </c>
      <c r="K3641" t="n">
        <v>0</v>
      </c>
      <c r="L3641" t="n">
        <v>0</v>
      </c>
      <c r="M3641" t="n">
        <v>0</v>
      </c>
      <c r="N3641" t="n">
        <v>0</v>
      </c>
      <c r="O3641" t="n">
        <v>0</v>
      </c>
      <c r="P3641" t="n">
        <v>0</v>
      </c>
      <c r="Q3641" t="n">
        <v>0</v>
      </c>
      <c r="R3641" s="2" t="inlineStr"/>
    </row>
    <row r="3642" ht="15" customHeight="1">
      <c r="A3642" t="inlineStr">
        <is>
          <t>A 27728-2021</t>
        </is>
      </c>
      <c r="B3642" s="1" t="n">
        <v>44354.47241898148</v>
      </c>
      <c r="C3642" s="1" t="n">
        <v>45952</v>
      </c>
      <c r="D3642" t="inlineStr">
        <is>
          <t>ÖREBRO LÄN</t>
        </is>
      </c>
      <c r="E3642" t="inlineStr">
        <is>
          <t>KARLSKOGA</t>
        </is>
      </c>
      <c r="F3642" t="inlineStr">
        <is>
          <t>Sveaskog</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26967-2022</t>
        </is>
      </c>
      <c r="B3643" s="1" t="n">
        <v>44740.66997685185</v>
      </c>
      <c r="C3643" s="1" t="n">
        <v>45952</v>
      </c>
      <c r="D3643" t="inlineStr">
        <is>
          <t>ÖREBRO LÄN</t>
        </is>
      </c>
      <c r="E3643" t="inlineStr">
        <is>
          <t>LINDESBERG</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59986-2020</t>
        </is>
      </c>
      <c r="B3644" s="1" t="n">
        <v>44151</v>
      </c>
      <c r="C3644" s="1" t="n">
        <v>45952</v>
      </c>
      <c r="D3644" t="inlineStr">
        <is>
          <t>ÖREBRO LÄN</t>
        </is>
      </c>
      <c r="E3644" t="inlineStr">
        <is>
          <t>ASKERSUND</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15725-2025</t>
        </is>
      </c>
      <c r="B3645" s="1" t="n">
        <v>45748</v>
      </c>
      <c r="C3645" s="1" t="n">
        <v>45952</v>
      </c>
      <c r="D3645" t="inlineStr">
        <is>
          <t>ÖREBRO LÄN</t>
        </is>
      </c>
      <c r="E3645" t="inlineStr">
        <is>
          <t>ASKERSUND</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27428-2024</t>
        </is>
      </c>
      <c r="B3646" s="1" t="n">
        <v>45473</v>
      </c>
      <c r="C3646" s="1" t="n">
        <v>45952</v>
      </c>
      <c r="D3646" t="inlineStr">
        <is>
          <t>ÖREBRO LÄN</t>
        </is>
      </c>
      <c r="E3646" t="inlineStr">
        <is>
          <t>ASKERSUND</t>
        </is>
      </c>
      <c r="G3646" t="n">
        <v>4.4</v>
      </c>
      <c r="H3646" t="n">
        <v>0</v>
      </c>
      <c r="I3646" t="n">
        <v>0</v>
      </c>
      <c r="J3646" t="n">
        <v>0</v>
      </c>
      <c r="K3646" t="n">
        <v>0</v>
      </c>
      <c r="L3646" t="n">
        <v>0</v>
      </c>
      <c r="M3646" t="n">
        <v>0</v>
      </c>
      <c r="N3646" t="n">
        <v>0</v>
      </c>
      <c r="O3646" t="n">
        <v>0</v>
      </c>
      <c r="P3646" t="n">
        <v>0</v>
      </c>
      <c r="Q3646" t="n">
        <v>0</v>
      </c>
      <c r="R3646" s="2" t="inlineStr"/>
    </row>
    <row r="3647" ht="15" customHeight="1">
      <c r="A3647" t="inlineStr">
        <is>
          <t>A 30334-2025</t>
        </is>
      </c>
      <c r="B3647" s="1" t="n">
        <v>45827.51025462963</v>
      </c>
      <c r="C3647" s="1" t="n">
        <v>45952</v>
      </c>
      <c r="D3647" t="inlineStr">
        <is>
          <t>ÖREBRO LÄN</t>
        </is>
      </c>
      <c r="E3647" t="inlineStr">
        <is>
          <t>LAXÅ</t>
        </is>
      </c>
      <c r="F3647" t="inlineStr">
        <is>
          <t>Sveaskog</t>
        </is>
      </c>
      <c r="G3647" t="n">
        <v>3.2</v>
      </c>
      <c r="H3647" t="n">
        <v>0</v>
      </c>
      <c r="I3647" t="n">
        <v>0</v>
      </c>
      <c r="J3647" t="n">
        <v>0</v>
      </c>
      <c r="K3647" t="n">
        <v>0</v>
      </c>
      <c r="L3647" t="n">
        <v>0</v>
      </c>
      <c r="M3647" t="n">
        <v>0</v>
      </c>
      <c r="N3647" t="n">
        <v>0</v>
      </c>
      <c r="O3647" t="n">
        <v>0</v>
      </c>
      <c r="P3647" t="n">
        <v>0</v>
      </c>
      <c r="Q3647" t="n">
        <v>0</v>
      </c>
      <c r="R3647" s="2" t="inlineStr"/>
    </row>
    <row r="3648" ht="15" customHeight="1">
      <c r="A3648" t="inlineStr">
        <is>
          <t>A 59920-2023</t>
        </is>
      </c>
      <c r="B3648" s="1" t="n">
        <v>45257</v>
      </c>
      <c r="C3648" s="1" t="n">
        <v>45952</v>
      </c>
      <c r="D3648" t="inlineStr">
        <is>
          <t>ÖREBRO LÄN</t>
        </is>
      </c>
      <c r="E3648" t="inlineStr">
        <is>
          <t>ASKERSUND</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23620-2024</t>
        </is>
      </c>
      <c r="B3649" s="1" t="n">
        <v>45454</v>
      </c>
      <c r="C3649" s="1" t="n">
        <v>45952</v>
      </c>
      <c r="D3649" t="inlineStr">
        <is>
          <t>ÖREBRO LÄN</t>
        </is>
      </c>
      <c r="E3649" t="inlineStr">
        <is>
          <t>KARLSKOGA</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30006-2024</t>
        </is>
      </c>
      <c r="B3650" s="1" t="n">
        <v>45485</v>
      </c>
      <c r="C3650" s="1" t="n">
        <v>45952</v>
      </c>
      <c r="D3650" t="inlineStr">
        <is>
          <t>ÖREBRO LÄN</t>
        </is>
      </c>
      <c r="E3650" t="inlineStr">
        <is>
          <t>ASKERSUND</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29985-2024</t>
        </is>
      </c>
      <c r="B3651" s="1" t="n">
        <v>45485</v>
      </c>
      <c r="C3651" s="1" t="n">
        <v>45952</v>
      </c>
      <c r="D3651" t="inlineStr">
        <is>
          <t>ÖREBRO LÄN</t>
        </is>
      </c>
      <c r="E3651" t="inlineStr">
        <is>
          <t>ASKERSUND</t>
        </is>
      </c>
      <c r="F3651" t="inlineStr">
        <is>
          <t>Kommuner</t>
        </is>
      </c>
      <c r="G3651" t="n">
        <v>3.9</v>
      </c>
      <c r="H3651" t="n">
        <v>0</v>
      </c>
      <c r="I3651" t="n">
        <v>0</v>
      </c>
      <c r="J3651" t="n">
        <v>0</v>
      </c>
      <c r="K3651" t="n">
        <v>0</v>
      </c>
      <c r="L3651" t="n">
        <v>0</v>
      </c>
      <c r="M3651" t="n">
        <v>0</v>
      </c>
      <c r="N3651" t="n">
        <v>0</v>
      </c>
      <c r="O3651" t="n">
        <v>0</v>
      </c>
      <c r="P3651" t="n">
        <v>0</v>
      </c>
      <c r="Q3651" t="n">
        <v>0</v>
      </c>
      <c r="R3651" s="2" t="inlineStr"/>
    </row>
    <row r="3652" ht="15" customHeight="1">
      <c r="A3652" t="inlineStr">
        <is>
          <t>A 30428-2025</t>
        </is>
      </c>
      <c r="B3652" s="1" t="n">
        <v>45827</v>
      </c>
      <c r="C3652" s="1" t="n">
        <v>45952</v>
      </c>
      <c r="D3652" t="inlineStr">
        <is>
          <t>ÖREBRO LÄN</t>
        </is>
      </c>
      <c r="E3652" t="inlineStr">
        <is>
          <t>LJUSNARSBERG</t>
        </is>
      </c>
      <c r="F3652" t="inlineStr">
        <is>
          <t>Bergvik skog väst AB</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30002-2025</t>
        </is>
      </c>
      <c r="B3653" s="1" t="n">
        <v>45826.52493055556</v>
      </c>
      <c r="C3653" s="1" t="n">
        <v>45952</v>
      </c>
      <c r="D3653" t="inlineStr">
        <is>
          <t>ÖREBRO LÄN</t>
        </is>
      </c>
      <c r="E3653" t="inlineStr">
        <is>
          <t>LJUSNARSBERG</t>
        </is>
      </c>
      <c r="F3653" t="inlineStr">
        <is>
          <t>Sveaskog</t>
        </is>
      </c>
      <c r="G3653" t="n">
        <v>2.4</v>
      </c>
      <c r="H3653" t="n">
        <v>0</v>
      </c>
      <c r="I3653" t="n">
        <v>0</v>
      </c>
      <c r="J3653" t="n">
        <v>0</v>
      </c>
      <c r="K3653" t="n">
        <v>0</v>
      </c>
      <c r="L3653" t="n">
        <v>0</v>
      </c>
      <c r="M3653" t="n">
        <v>0</v>
      </c>
      <c r="N3653" t="n">
        <v>0</v>
      </c>
      <c r="O3653" t="n">
        <v>0</v>
      </c>
      <c r="P3653" t="n">
        <v>0</v>
      </c>
      <c r="Q3653" t="n">
        <v>0</v>
      </c>
      <c r="R3653" s="2" t="inlineStr"/>
    </row>
    <row r="3654" ht="15" customHeight="1">
      <c r="A3654" t="inlineStr">
        <is>
          <t>A 48429-2024</t>
        </is>
      </c>
      <c r="B3654" s="1" t="n">
        <v>45590</v>
      </c>
      <c r="C3654" s="1" t="n">
        <v>45952</v>
      </c>
      <c r="D3654" t="inlineStr">
        <is>
          <t>ÖREBRO LÄN</t>
        </is>
      </c>
      <c r="E3654" t="inlineStr">
        <is>
          <t>HÄLLEFORS</t>
        </is>
      </c>
      <c r="F3654" t="inlineStr">
        <is>
          <t>Bergvik skog väst AB</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30381-2025</t>
        </is>
      </c>
      <c r="B3655" s="1" t="n">
        <v>45827.56939814815</v>
      </c>
      <c r="C3655" s="1" t="n">
        <v>45952</v>
      </c>
      <c r="D3655" t="inlineStr">
        <is>
          <t>ÖREBRO LÄN</t>
        </is>
      </c>
      <c r="E3655" t="inlineStr">
        <is>
          <t>LINDESBERG</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53647-2023</t>
        </is>
      </c>
      <c r="B3656" s="1" t="n">
        <v>45230.6046875</v>
      </c>
      <c r="C3656" s="1" t="n">
        <v>45952</v>
      </c>
      <c r="D3656" t="inlineStr">
        <is>
          <t>ÖREBRO LÄN</t>
        </is>
      </c>
      <c r="E3656" t="inlineStr">
        <is>
          <t>KARLSKOGA</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39936-2024</t>
        </is>
      </c>
      <c r="B3657" s="1" t="n">
        <v>45553.56512731482</v>
      </c>
      <c r="C3657" s="1" t="n">
        <v>45952</v>
      </c>
      <c r="D3657" t="inlineStr">
        <is>
          <t>ÖREBRO LÄN</t>
        </is>
      </c>
      <c r="E3657" t="inlineStr">
        <is>
          <t>KARLSKOGA</t>
        </is>
      </c>
      <c r="G3657" t="n">
        <v>6.4</v>
      </c>
      <c r="H3657" t="n">
        <v>0</v>
      </c>
      <c r="I3657" t="n">
        <v>0</v>
      </c>
      <c r="J3657" t="n">
        <v>0</v>
      </c>
      <c r="K3657" t="n">
        <v>0</v>
      </c>
      <c r="L3657" t="n">
        <v>0</v>
      </c>
      <c r="M3657" t="n">
        <v>0</v>
      </c>
      <c r="N3657" t="n">
        <v>0</v>
      </c>
      <c r="O3657" t="n">
        <v>0</v>
      </c>
      <c r="P3657" t="n">
        <v>0</v>
      </c>
      <c r="Q3657" t="n">
        <v>0</v>
      </c>
      <c r="R3657" s="2" t="inlineStr"/>
    </row>
    <row r="3658" ht="15" customHeight="1">
      <c r="A3658" t="inlineStr">
        <is>
          <t>A 43662-2024</t>
        </is>
      </c>
      <c r="B3658" s="1" t="n">
        <v>45569.55479166667</v>
      </c>
      <c r="C3658" s="1" t="n">
        <v>45952</v>
      </c>
      <c r="D3658" t="inlineStr">
        <is>
          <t>ÖREBRO LÄN</t>
        </is>
      </c>
      <c r="E3658" t="inlineStr">
        <is>
          <t>ASKERSUND</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30430-2025</t>
        </is>
      </c>
      <c r="B3659" s="1" t="n">
        <v>45827</v>
      </c>
      <c r="C3659" s="1" t="n">
        <v>45952</v>
      </c>
      <c r="D3659" t="inlineStr">
        <is>
          <t>ÖREBRO LÄN</t>
        </is>
      </c>
      <c r="E3659" t="inlineStr">
        <is>
          <t>LJUSNARSBERG</t>
        </is>
      </c>
      <c r="F3659" t="inlineStr">
        <is>
          <t>Bergvik skog väst AB</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10680-2023</t>
        </is>
      </c>
      <c r="B3660" s="1" t="n">
        <v>44988.55023148148</v>
      </c>
      <c r="C3660" s="1" t="n">
        <v>45952</v>
      </c>
      <c r="D3660" t="inlineStr">
        <is>
          <t>ÖREBRO LÄN</t>
        </is>
      </c>
      <c r="E3660" t="inlineStr">
        <is>
          <t>LAXÅ</t>
        </is>
      </c>
      <c r="F3660" t="inlineStr">
        <is>
          <t>Sveaskog</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11383-2023</t>
        </is>
      </c>
      <c r="B3661" s="1" t="n">
        <v>44993.45693287037</v>
      </c>
      <c r="C3661" s="1" t="n">
        <v>45952</v>
      </c>
      <c r="D3661" t="inlineStr">
        <is>
          <t>ÖREBRO LÄN</t>
        </is>
      </c>
      <c r="E3661" t="inlineStr">
        <is>
          <t>LEKEBERG</t>
        </is>
      </c>
      <c r="G3661" t="n">
        <v>0.4</v>
      </c>
      <c r="H3661" t="n">
        <v>0</v>
      </c>
      <c r="I3661" t="n">
        <v>0</v>
      </c>
      <c r="J3661" t="n">
        <v>0</v>
      </c>
      <c r="K3661" t="n">
        <v>0</v>
      </c>
      <c r="L3661" t="n">
        <v>0</v>
      </c>
      <c r="M3661" t="n">
        <v>0</v>
      </c>
      <c r="N3661" t="n">
        <v>0</v>
      </c>
      <c r="O3661" t="n">
        <v>0</v>
      </c>
      <c r="P3661" t="n">
        <v>0</v>
      </c>
      <c r="Q3661" t="n">
        <v>0</v>
      </c>
      <c r="R3661" s="2" t="inlineStr"/>
    </row>
    <row r="3662" ht="15" customHeight="1">
      <c r="A3662" t="inlineStr">
        <is>
          <t>A 1106-2024</t>
        </is>
      </c>
      <c r="B3662" s="1" t="n">
        <v>45302</v>
      </c>
      <c r="C3662" s="1" t="n">
        <v>45952</v>
      </c>
      <c r="D3662" t="inlineStr">
        <is>
          <t>ÖREBRO LÄN</t>
        </is>
      </c>
      <c r="E3662" t="inlineStr">
        <is>
          <t>KARLSKOGA</t>
        </is>
      </c>
      <c r="G3662" t="n">
        <v>1.9</v>
      </c>
      <c r="H3662" t="n">
        <v>0</v>
      </c>
      <c r="I3662" t="n">
        <v>0</v>
      </c>
      <c r="J3662" t="n">
        <v>0</v>
      </c>
      <c r="K3662" t="n">
        <v>0</v>
      </c>
      <c r="L3662" t="n">
        <v>0</v>
      </c>
      <c r="M3662" t="n">
        <v>0</v>
      </c>
      <c r="N3662" t="n">
        <v>0</v>
      </c>
      <c r="O3662" t="n">
        <v>0</v>
      </c>
      <c r="P3662" t="n">
        <v>0</v>
      </c>
      <c r="Q3662" t="n">
        <v>0</v>
      </c>
      <c r="R3662" s="2" t="inlineStr"/>
    </row>
    <row r="3663" ht="15" customHeight="1">
      <c r="A3663" t="inlineStr">
        <is>
          <t>A 43066-2021</t>
        </is>
      </c>
      <c r="B3663" s="1" t="n">
        <v>44431</v>
      </c>
      <c r="C3663" s="1" t="n">
        <v>45952</v>
      </c>
      <c r="D3663" t="inlineStr">
        <is>
          <t>ÖREBRO LÄN</t>
        </is>
      </c>
      <c r="E3663" t="inlineStr">
        <is>
          <t>LINDESBERG</t>
        </is>
      </c>
      <c r="G3663" t="n">
        <v>0.6</v>
      </c>
      <c r="H3663" t="n">
        <v>0</v>
      </c>
      <c r="I3663" t="n">
        <v>0</v>
      </c>
      <c r="J3663" t="n">
        <v>0</v>
      </c>
      <c r="K3663" t="n">
        <v>0</v>
      </c>
      <c r="L3663" t="n">
        <v>0</v>
      </c>
      <c r="M3663" t="n">
        <v>0</v>
      </c>
      <c r="N3663" t="n">
        <v>0</v>
      </c>
      <c r="O3663" t="n">
        <v>0</v>
      </c>
      <c r="P3663" t="n">
        <v>0</v>
      </c>
      <c r="Q3663" t="n">
        <v>0</v>
      </c>
      <c r="R3663" s="2" t="inlineStr"/>
    </row>
    <row r="3664" ht="15" customHeight="1">
      <c r="A3664" t="inlineStr">
        <is>
          <t>A 52489-2022</t>
        </is>
      </c>
      <c r="B3664" s="1" t="n">
        <v>44874.49135416667</v>
      </c>
      <c r="C3664" s="1" t="n">
        <v>45952</v>
      </c>
      <c r="D3664" t="inlineStr">
        <is>
          <t>ÖREBRO LÄN</t>
        </is>
      </c>
      <c r="E3664" t="inlineStr">
        <is>
          <t>LJUSNARSBERG</t>
        </is>
      </c>
      <c r="F3664" t="inlineStr">
        <is>
          <t>Bergvik skog väst AB</t>
        </is>
      </c>
      <c r="G3664" t="n">
        <v>3.2</v>
      </c>
      <c r="H3664" t="n">
        <v>0</v>
      </c>
      <c r="I3664" t="n">
        <v>0</v>
      </c>
      <c r="J3664" t="n">
        <v>0</v>
      </c>
      <c r="K3664" t="n">
        <v>0</v>
      </c>
      <c r="L3664" t="n">
        <v>0</v>
      </c>
      <c r="M3664" t="n">
        <v>0</v>
      </c>
      <c r="N3664" t="n">
        <v>0</v>
      </c>
      <c r="O3664" t="n">
        <v>0</v>
      </c>
      <c r="P3664" t="n">
        <v>0</v>
      </c>
      <c r="Q3664" t="n">
        <v>0</v>
      </c>
      <c r="R3664" s="2" t="inlineStr"/>
    </row>
    <row r="3665" ht="15" customHeight="1">
      <c r="A3665" t="inlineStr">
        <is>
          <t>A 10691-2021</t>
        </is>
      </c>
      <c r="B3665" s="1" t="n">
        <v>44258</v>
      </c>
      <c r="C3665" s="1" t="n">
        <v>45952</v>
      </c>
      <c r="D3665" t="inlineStr">
        <is>
          <t>ÖREBRO LÄN</t>
        </is>
      </c>
      <c r="E3665" t="inlineStr">
        <is>
          <t>HALLSBERG</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22511-2024</t>
        </is>
      </c>
      <c r="B3666" s="1" t="n">
        <v>45447.37612268519</v>
      </c>
      <c r="C3666" s="1" t="n">
        <v>45952</v>
      </c>
      <c r="D3666" t="inlineStr">
        <is>
          <t>ÖREBRO LÄN</t>
        </is>
      </c>
      <c r="E3666" t="inlineStr">
        <is>
          <t>ASKERSUND</t>
        </is>
      </c>
      <c r="G3666" t="n">
        <v>1</v>
      </c>
      <c r="H3666" t="n">
        <v>0</v>
      </c>
      <c r="I3666" t="n">
        <v>0</v>
      </c>
      <c r="J3666" t="n">
        <v>0</v>
      </c>
      <c r="K3666" t="n">
        <v>0</v>
      </c>
      <c r="L3666" t="n">
        <v>0</v>
      </c>
      <c r="M3666" t="n">
        <v>0</v>
      </c>
      <c r="N3666" t="n">
        <v>0</v>
      </c>
      <c r="O3666" t="n">
        <v>0</v>
      </c>
      <c r="P3666" t="n">
        <v>0</v>
      </c>
      <c r="Q3666" t="n">
        <v>0</v>
      </c>
      <c r="R3666" s="2" t="inlineStr"/>
    </row>
    <row r="3667" ht="15" customHeight="1">
      <c r="A3667" t="inlineStr">
        <is>
          <t>A 29983-2024</t>
        </is>
      </c>
      <c r="B3667" s="1" t="n">
        <v>45485</v>
      </c>
      <c r="C3667" s="1" t="n">
        <v>45952</v>
      </c>
      <c r="D3667" t="inlineStr">
        <is>
          <t>ÖREBRO LÄN</t>
        </is>
      </c>
      <c r="E3667" t="inlineStr">
        <is>
          <t>ASKERSUND</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47902-2023</t>
        </is>
      </c>
      <c r="B3668" s="1" t="n">
        <v>45204.49861111111</v>
      </c>
      <c r="C3668" s="1" t="n">
        <v>45952</v>
      </c>
      <c r="D3668" t="inlineStr">
        <is>
          <t>ÖREBRO LÄN</t>
        </is>
      </c>
      <c r="E3668" t="inlineStr">
        <is>
          <t>LEKEBERG</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39030-2022</t>
        </is>
      </c>
      <c r="B3669" s="1" t="n">
        <v>44817.34023148148</v>
      </c>
      <c r="C3669" s="1" t="n">
        <v>45952</v>
      </c>
      <c r="D3669" t="inlineStr">
        <is>
          <t>ÖREBRO LÄN</t>
        </is>
      </c>
      <c r="E3669" t="inlineStr">
        <is>
          <t>KARLSKOGA</t>
        </is>
      </c>
      <c r="F3669" t="inlineStr">
        <is>
          <t>Sveaskog</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30340-2025</t>
        </is>
      </c>
      <c r="B3670" s="1" t="n">
        <v>45827.51753472222</v>
      </c>
      <c r="C3670" s="1" t="n">
        <v>45952</v>
      </c>
      <c r="D3670" t="inlineStr">
        <is>
          <t>ÖREBRO LÄN</t>
        </is>
      </c>
      <c r="E3670" t="inlineStr">
        <is>
          <t>LINDESBERG</t>
        </is>
      </c>
      <c r="F3670" t="inlineStr">
        <is>
          <t>Sveaskog</t>
        </is>
      </c>
      <c r="G3670" t="n">
        <v>2.5</v>
      </c>
      <c r="H3670" t="n">
        <v>0</v>
      </c>
      <c r="I3670" t="n">
        <v>0</v>
      </c>
      <c r="J3670" t="n">
        <v>0</v>
      </c>
      <c r="K3670" t="n">
        <v>0</v>
      </c>
      <c r="L3670" t="n">
        <v>0</v>
      </c>
      <c r="M3670" t="n">
        <v>0</v>
      </c>
      <c r="N3670" t="n">
        <v>0</v>
      </c>
      <c r="O3670" t="n">
        <v>0</v>
      </c>
      <c r="P3670" t="n">
        <v>0</v>
      </c>
      <c r="Q3670" t="n">
        <v>0</v>
      </c>
      <c r="R3670" s="2" t="inlineStr"/>
    </row>
    <row r="3671" ht="15" customHeight="1">
      <c r="A3671" t="inlineStr">
        <is>
          <t>A 30342-2025</t>
        </is>
      </c>
      <c r="B3671" s="1" t="n">
        <v>45827.51956018519</v>
      </c>
      <c r="C3671" s="1" t="n">
        <v>45952</v>
      </c>
      <c r="D3671" t="inlineStr">
        <is>
          <t>ÖREBRO LÄN</t>
        </is>
      </c>
      <c r="E3671" t="inlineStr">
        <is>
          <t>LINDESBERG</t>
        </is>
      </c>
      <c r="F3671" t="inlineStr">
        <is>
          <t>Sveaskog</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61139-2021</t>
        </is>
      </c>
      <c r="B3672" s="1" t="n">
        <v>44498.3784837963</v>
      </c>
      <c r="C3672" s="1" t="n">
        <v>45952</v>
      </c>
      <c r="D3672" t="inlineStr">
        <is>
          <t>ÖREBRO LÄN</t>
        </is>
      </c>
      <c r="E3672" t="inlineStr">
        <is>
          <t>ASKERSUND</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15572-2022</t>
        </is>
      </c>
      <c r="B3673" s="1" t="n">
        <v>44662</v>
      </c>
      <c r="C3673" s="1" t="n">
        <v>45952</v>
      </c>
      <c r="D3673" t="inlineStr">
        <is>
          <t>ÖREBRO LÄN</t>
        </is>
      </c>
      <c r="E3673" t="inlineStr">
        <is>
          <t>ASKERSUND</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13617-2022</t>
        </is>
      </c>
      <c r="B3674" s="1" t="n">
        <v>44648</v>
      </c>
      <c r="C3674" s="1" t="n">
        <v>45952</v>
      </c>
      <c r="D3674" t="inlineStr">
        <is>
          <t>ÖREBRO LÄN</t>
        </is>
      </c>
      <c r="E3674" t="inlineStr">
        <is>
          <t>ASKERSUND</t>
        </is>
      </c>
      <c r="G3674" t="n">
        <v>7.9</v>
      </c>
      <c r="H3674" t="n">
        <v>0</v>
      </c>
      <c r="I3674" t="n">
        <v>0</v>
      </c>
      <c r="J3674" t="n">
        <v>0</v>
      </c>
      <c r="K3674" t="n">
        <v>0</v>
      </c>
      <c r="L3674" t="n">
        <v>0</v>
      </c>
      <c r="M3674" t="n">
        <v>0</v>
      </c>
      <c r="N3674" t="n">
        <v>0</v>
      </c>
      <c r="O3674" t="n">
        <v>0</v>
      </c>
      <c r="P3674" t="n">
        <v>0</v>
      </c>
      <c r="Q3674" t="n">
        <v>0</v>
      </c>
      <c r="R3674" s="2" t="inlineStr"/>
    </row>
    <row r="3675" ht="15" customHeight="1">
      <c r="A3675" t="inlineStr">
        <is>
          <t>A 13425-2022</t>
        </is>
      </c>
      <c r="B3675" s="1" t="n">
        <v>44645</v>
      </c>
      <c r="C3675" s="1" t="n">
        <v>45952</v>
      </c>
      <c r="D3675" t="inlineStr">
        <is>
          <t>ÖREBRO LÄN</t>
        </is>
      </c>
      <c r="E3675" t="inlineStr">
        <is>
          <t>ASKERSUND</t>
        </is>
      </c>
      <c r="G3675" t="n">
        <v>16.8</v>
      </c>
      <c r="H3675" t="n">
        <v>0</v>
      </c>
      <c r="I3675" t="n">
        <v>0</v>
      </c>
      <c r="J3675" t="n">
        <v>0</v>
      </c>
      <c r="K3675" t="n">
        <v>0</v>
      </c>
      <c r="L3675" t="n">
        <v>0</v>
      </c>
      <c r="M3675" t="n">
        <v>0</v>
      </c>
      <c r="N3675" t="n">
        <v>0</v>
      </c>
      <c r="O3675" t="n">
        <v>0</v>
      </c>
      <c r="P3675" t="n">
        <v>0</v>
      </c>
      <c r="Q3675" t="n">
        <v>0</v>
      </c>
      <c r="R3675" s="2" t="inlineStr"/>
    </row>
    <row r="3676" ht="15" customHeight="1">
      <c r="A3676" t="inlineStr">
        <is>
          <t>A 13981-2022</t>
        </is>
      </c>
      <c r="B3676" s="1" t="n">
        <v>44650</v>
      </c>
      <c r="C3676" s="1" t="n">
        <v>45952</v>
      </c>
      <c r="D3676" t="inlineStr">
        <is>
          <t>ÖREBRO LÄN</t>
        </is>
      </c>
      <c r="E3676" t="inlineStr">
        <is>
          <t>ASKERSUND</t>
        </is>
      </c>
      <c r="G3676" t="n">
        <v>11.7</v>
      </c>
      <c r="H3676" t="n">
        <v>0</v>
      </c>
      <c r="I3676" t="n">
        <v>0</v>
      </c>
      <c r="J3676" t="n">
        <v>0</v>
      </c>
      <c r="K3676" t="n">
        <v>0</v>
      </c>
      <c r="L3676" t="n">
        <v>0</v>
      </c>
      <c r="M3676" t="n">
        <v>0</v>
      </c>
      <c r="N3676" t="n">
        <v>0</v>
      </c>
      <c r="O3676" t="n">
        <v>0</v>
      </c>
      <c r="P3676" t="n">
        <v>0</v>
      </c>
      <c r="Q3676" t="n">
        <v>0</v>
      </c>
      <c r="R3676" s="2" t="inlineStr"/>
    </row>
    <row r="3677" ht="15" customHeight="1">
      <c r="A3677" t="inlineStr">
        <is>
          <t>A 23066-2022</t>
        </is>
      </c>
      <c r="B3677" s="1" t="n">
        <v>44719.45199074074</v>
      </c>
      <c r="C3677" s="1" t="n">
        <v>45952</v>
      </c>
      <c r="D3677" t="inlineStr">
        <is>
          <t>ÖREBRO LÄN</t>
        </is>
      </c>
      <c r="E3677" t="inlineStr">
        <is>
          <t>DEGERFORS</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5604-2023</t>
        </is>
      </c>
      <c r="B3678" s="1" t="n">
        <v>44960.55600694445</v>
      </c>
      <c r="C3678" s="1" t="n">
        <v>45952</v>
      </c>
      <c r="D3678" t="inlineStr">
        <is>
          <t>ÖREBRO LÄN</t>
        </is>
      </c>
      <c r="E3678" t="inlineStr">
        <is>
          <t>HALLSBERG</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5608-2023</t>
        </is>
      </c>
      <c r="B3679" s="1" t="n">
        <v>44960.56233796296</v>
      </c>
      <c r="C3679" s="1" t="n">
        <v>45952</v>
      </c>
      <c r="D3679" t="inlineStr">
        <is>
          <t>ÖREBRO LÄN</t>
        </is>
      </c>
      <c r="E3679" t="inlineStr">
        <is>
          <t>HALLSBERG</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26485-2022</t>
        </is>
      </c>
      <c r="B3680" s="1" t="n">
        <v>44739</v>
      </c>
      <c r="C3680" s="1" t="n">
        <v>45952</v>
      </c>
      <c r="D3680" t="inlineStr">
        <is>
          <t>ÖREBRO LÄN</t>
        </is>
      </c>
      <c r="E3680" t="inlineStr">
        <is>
          <t>ASKERSUND</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35450-2021</t>
        </is>
      </c>
      <c r="B3681" s="1" t="n">
        <v>44385</v>
      </c>
      <c r="C3681" s="1" t="n">
        <v>45952</v>
      </c>
      <c r="D3681" t="inlineStr">
        <is>
          <t>ÖREBRO LÄN</t>
        </is>
      </c>
      <c r="E3681" t="inlineStr">
        <is>
          <t>ASKERSUND</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26702-2023</t>
        </is>
      </c>
      <c r="B3682" s="1" t="n">
        <v>45093</v>
      </c>
      <c r="C3682" s="1" t="n">
        <v>45952</v>
      </c>
      <c r="D3682" t="inlineStr">
        <is>
          <t>ÖREBRO LÄN</t>
        </is>
      </c>
      <c r="E3682" t="inlineStr">
        <is>
          <t>LEKEBERG</t>
        </is>
      </c>
      <c r="G3682" t="n">
        <v>2.5</v>
      </c>
      <c r="H3682" t="n">
        <v>0</v>
      </c>
      <c r="I3682" t="n">
        <v>0</v>
      </c>
      <c r="J3682" t="n">
        <v>0</v>
      </c>
      <c r="K3682" t="n">
        <v>0</v>
      </c>
      <c r="L3682" t="n">
        <v>0</v>
      </c>
      <c r="M3682" t="n">
        <v>0</v>
      </c>
      <c r="N3682" t="n">
        <v>0</v>
      </c>
      <c r="O3682" t="n">
        <v>0</v>
      </c>
      <c r="P3682" t="n">
        <v>0</v>
      </c>
      <c r="Q3682" t="n">
        <v>0</v>
      </c>
      <c r="R3682" s="2" t="inlineStr"/>
    </row>
    <row r="3683" ht="15" customHeight="1">
      <c r="A3683" t="inlineStr">
        <is>
          <t>A 15722-2025</t>
        </is>
      </c>
      <c r="B3683" s="1" t="n">
        <v>45748.51697916666</v>
      </c>
      <c r="C3683" s="1" t="n">
        <v>45952</v>
      </c>
      <c r="D3683" t="inlineStr">
        <is>
          <t>ÖREBRO LÄN</t>
        </is>
      </c>
      <c r="E3683" t="inlineStr">
        <is>
          <t>ASKERSUND</t>
        </is>
      </c>
      <c r="G3683" t="n">
        <v>6.2</v>
      </c>
      <c r="H3683" t="n">
        <v>0</v>
      </c>
      <c r="I3683" t="n">
        <v>0</v>
      </c>
      <c r="J3683" t="n">
        <v>0</v>
      </c>
      <c r="K3683" t="n">
        <v>0</v>
      </c>
      <c r="L3683" t="n">
        <v>0</v>
      </c>
      <c r="M3683" t="n">
        <v>0</v>
      </c>
      <c r="N3683" t="n">
        <v>0</v>
      </c>
      <c r="O3683" t="n">
        <v>0</v>
      </c>
      <c r="P3683" t="n">
        <v>0</v>
      </c>
      <c r="Q3683" t="n">
        <v>0</v>
      </c>
      <c r="R3683" s="2" t="inlineStr"/>
    </row>
    <row r="3684" ht="15" customHeight="1">
      <c r="A3684" t="inlineStr">
        <is>
          <t>A 15731-2025</t>
        </is>
      </c>
      <c r="B3684" s="1" t="n">
        <v>45748</v>
      </c>
      <c r="C3684" s="1" t="n">
        <v>45952</v>
      </c>
      <c r="D3684" t="inlineStr">
        <is>
          <t>ÖREBRO LÄN</t>
        </is>
      </c>
      <c r="E3684" t="inlineStr">
        <is>
          <t>ASKERSUND</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12797-2025</t>
        </is>
      </c>
      <c r="B3685" s="1" t="n">
        <v>45733.61097222222</v>
      </c>
      <c r="C3685" s="1" t="n">
        <v>45952</v>
      </c>
      <c r="D3685" t="inlineStr">
        <is>
          <t>ÖREBRO LÄN</t>
        </is>
      </c>
      <c r="E3685" t="inlineStr">
        <is>
          <t>ASKERSUND</t>
        </is>
      </c>
      <c r="G3685" t="n">
        <v>4.4</v>
      </c>
      <c r="H3685" t="n">
        <v>0</v>
      </c>
      <c r="I3685" t="n">
        <v>0</v>
      </c>
      <c r="J3685" t="n">
        <v>0</v>
      </c>
      <c r="K3685" t="n">
        <v>0</v>
      </c>
      <c r="L3685" t="n">
        <v>0</v>
      </c>
      <c r="M3685" t="n">
        <v>0</v>
      </c>
      <c r="N3685" t="n">
        <v>0</v>
      </c>
      <c r="O3685" t="n">
        <v>0</v>
      </c>
      <c r="P3685" t="n">
        <v>0</v>
      </c>
      <c r="Q3685" t="n">
        <v>0</v>
      </c>
      <c r="R3685" s="2" t="inlineStr"/>
    </row>
    <row r="3686" ht="15" customHeight="1">
      <c r="A3686" t="inlineStr">
        <is>
          <t>A 30416-2025</t>
        </is>
      </c>
      <c r="B3686" s="1" t="n">
        <v>45827.60635416667</v>
      </c>
      <c r="C3686" s="1" t="n">
        <v>45952</v>
      </c>
      <c r="D3686" t="inlineStr">
        <is>
          <t>ÖREBRO LÄN</t>
        </is>
      </c>
      <c r="E3686" t="inlineStr">
        <is>
          <t>ASKERSUND</t>
        </is>
      </c>
      <c r="F3686" t="inlineStr">
        <is>
          <t>Sveaskog</t>
        </is>
      </c>
      <c r="G3686" t="n">
        <v>7.7</v>
      </c>
      <c r="H3686" t="n">
        <v>0</v>
      </c>
      <c r="I3686" t="n">
        <v>0</v>
      </c>
      <c r="J3686" t="n">
        <v>0</v>
      </c>
      <c r="K3686" t="n">
        <v>0</v>
      </c>
      <c r="L3686" t="n">
        <v>0</v>
      </c>
      <c r="M3686" t="n">
        <v>0</v>
      </c>
      <c r="N3686" t="n">
        <v>0</v>
      </c>
      <c r="O3686" t="n">
        <v>0</v>
      </c>
      <c r="P3686" t="n">
        <v>0</v>
      </c>
      <c r="Q3686" t="n">
        <v>0</v>
      </c>
      <c r="R3686" s="2" t="inlineStr"/>
    </row>
    <row r="3687" ht="15" customHeight="1">
      <c r="A3687" t="inlineStr">
        <is>
          <t>A 60114-2024</t>
        </is>
      </c>
      <c r="B3687" s="1" t="n">
        <v>45642</v>
      </c>
      <c r="C3687" s="1" t="n">
        <v>45952</v>
      </c>
      <c r="D3687" t="inlineStr">
        <is>
          <t>ÖREBRO LÄN</t>
        </is>
      </c>
      <c r="E3687" t="inlineStr">
        <is>
          <t>ASKERSUND</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30102-2025</t>
        </is>
      </c>
      <c r="B3688" s="1" t="n">
        <v>45826.68414351852</v>
      </c>
      <c r="C3688" s="1" t="n">
        <v>45952</v>
      </c>
      <c r="D3688" t="inlineStr">
        <is>
          <t>ÖREBRO LÄN</t>
        </is>
      </c>
      <c r="E3688" t="inlineStr">
        <is>
          <t>KARLSKOGA</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47983-2022</t>
        </is>
      </c>
      <c r="B3689" s="1" t="n">
        <v>44855</v>
      </c>
      <c r="C3689" s="1" t="n">
        <v>45952</v>
      </c>
      <c r="D3689" t="inlineStr">
        <is>
          <t>ÖREBRO LÄN</t>
        </is>
      </c>
      <c r="E3689" t="inlineStr">
        <is>
          <t>ASKERSUND</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30339-2025</t>
        </is>
      </c>
      <c r="B3690" s="1" t="n">
        <v>45827.51628472222</v>
      </c>
      <c r="C3690" s="1" t="n">
        <v>45952</v>
      </c>
      <c r="D3690" t="inlineStr">
        <is>
          <t>ÖREBRO LÄN</t>
        </is>
      </c>
      <c r="E3690" t="inlineStr">
        <is>
          <t>LINDESBERG</t>
        </is>
      </c>
      <c r="F3690" t="inlineStr">
        <is>
          <t>Sveaskog</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30351-2025</t>
        </is>
      </c>
      <c r="B3691" s="1" t="n">
        <v>45827.53324074074</v>
      </c>
      <c r="C3691" s="1" t="n">
        <v>45952</v>
      </c>
      <c r="D3691" t="inlineStr">
        <is>
          <t>ÖREBRO LÄN</t>
        </is>
      </c>
      <c r="E3691" t="inlineStr">
        <is>
          <t>ASKERSUND</t>
        </is>
      </c>
      <c r="F3691" t="inlineStr">
        <is>
          <t>Sveaskog</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34585-2021</t>
        </is>
      </c>
      <c r="B3692" s="1" t="n">
        <v>44382.47526620371</v>
      </c>
      <c r="C3692" s="1" t="n">
        <v>45952</v>
      </c>
      <c r="D3692" t="inlineStr">
        <is>
          <t>ÖREBRO LÄN</t>
        </is>
      </c>
      <c r="E3692" t="inlineStr">
        <is>
          <t>KARLSKOGA</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54680-2021</t>
        </is>
      </c>
      <c r="B3693" s="1" t="n">
        <v>44473</v>
      </c>
      <c r="C3693" s="1" t="n">
        <v>45952</v>
      </c>
      <c r="D3693" t="inlineStr">
        <is>
          <t>ÖREBRO LÄN</t>
        </is>
      </c>
      <c r="E3693" t="inlineStr">
        <is>
          <t>KARLSKOGA</t>
        </is>
      </c>
      <c r="G3693" t="n">
        <v>2.9</v>
      </c>
      <c r="H3693" t="n">
        <v>0</v>
      </c>
      <c r="I3693" t="n">
        <v>0</v>
      </c>
      <c r="J3693" t="n">
        <v>0</v>
      </c>
      <c r="K3693" t="n">
        <v>0</v>
      </c>
      <c r="L3693" t="n">
        <v>0</v>
      </c>
      <c r="M3693" t="n">
        <v>0</v>
      </c>
      <c r="N3693" t="n">
        <v>0</v>
      </c>
      <c r="O3693" t="n">
        <v>0</v>
      </c>
      <c r="P3693" t="n">
        <v>0</v>
      </c>
      <c r="Q3693" t="n">
        <v>0</v>
      </c>
      <c r="R3693" s="2" t="inlineStr"/>
    </row>
    <row r="3694" ht="15" customHeight="1">
      <c r="A3694" t="inlineStr">
        <is>
          <t>A 30427-2025</t>
        </is>
      </c>
      <c r="B3694" s="1" t="n">
        <v>45827.61739583333</v>
      </c>
      <c r="C3694" s="1" t="n">
        <v>45952</v>
      </c>
      <c r="D3694" t="inlineStr">
        <is>
          <t>ÖREBRO LÄN</t>
        </is>
      </c>
      <c r="E3694" t="inlineStr">
        <is>
          <t>ASKERSUND</t>
        </is>
      </c>
      <c r="F3694" t="inlineStr">
        <is>
          <t>Sveaskog</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33976-2023</t>
        </is>
      </c>
      <c r="B3695" s="1" t="n">
        <v>45124</v>
      </c>
      <c r="C3695" s="1" t="n">
        <v>45952</v>
      </c>
      <c r="D3695" t="inlineStr">
        <is>
          <t>ÖREBRO LÄN</t>
        </is>
      </c>
      <c r="E3695" t="inlineStr">
        <is>
          <t>LJUSNARSBERG</t>
        </is>
      </c>
      <c r="F3695" t="inlineStr">
        <is>
          <t>Bergvik skog väst AB</t>
        </is>
      </c>
      <c r="G3695" t="n">
        <v>6.7</v>
      </c>
      <c r="H3695" t="n">
        <v>0</v>
      </c>
      <c r="I3695" t="n">
        <v>0</v>
      </c>
      <c r="J3695" t="n">
        <v>0</v>
      </c>
      <c r="K3695" t="n">
        <v>0</v>
      </c>
      <c r="L3695" t="n">
        <v>0</v>
      </c>
      <c r="M3695" t="n">
        <v>0</v>
      </c>
      <c r="N3695" t="n">
        <v>0</v>
      </c>
      <c r="O3695" t="n">
        <v>0</v>
      </c>
      <c r="P3695" t="n">
        <v>0</v>
      </c>
      <c r="Q3695" t="n">
        <v>0</v>
      </c>
      <c r="R3695" s="2" t="inlineStr"/>
    </row>
    <row r="3696" ht="15" customHeight="1">
      <c r="A3696" t="inlineStr">
        <is>
          <t>A 34029-2024</t>
        </is>
      </c>
      <c r="B3696" s="1" t="n">
        <v>45523</v>
      </c>
      <c r="C3696" s="1" t="n">
        <v>45952</v>
      </c>
      <c r="D3696" t="inlineStr">
        <is>
          <t>ÖREBRO LÄN</t>
        </is>
      </c>
      <c r="E3696" t="inlineStr">
        <is>
          <t>LINDESBERG</t>
        </is>
      </c>
      <c r="G3696" t="n">
        <v>1.9</v>
      </c>
      <c r="H3696" t="n">
        <v>0</v>
      </c>
      <c r="I3696" t="n">
        <v>0</v>
      </c>
      <c r="J3696" t="n">
        <v>0</v>
      </c>
      <c r="K3696" t="n">
        <v>0</v>
      </c>
      <c r="L3696" t="n">
        <v>0</v>
      </c>
      <c r="M3696" t="n">
        <v>0</v>
      </c>
      <c r="N3696" t="n">
        <v>0</v>
      </c>
      <c r="O3696" t="n">
        <v>0</v>
      </c>
      <c r="P3696" t="n">
        <v>0</v>
      </c>
      <c r="Q3696" t="n">
        <v>0</v>
      </c>
      <c r="R3696" s="2" t="inlineStr"/>
    </row>
    <row r="3697" ht="15" customHeight="1">
      <c r="A3697" t="inlineStr">
        <is>
          <t>A 16791-2024</t>
        </is>
      </c>
      <c r="B3697" s="1" t="n">
        <v>45411.42858796296</v>
      </c>
      <c r="C3697" s="1" t="n">
        <v>45952</v>
      </c>
      <c r="D3697" t="inlineStr">
        <is>
          <t>ÖREBRO LÄN</t>
        </is>
      </c>
      <c r="E3697" t="inlineStr">
        <is>
          <t>LINDESBERG</t>
        </is>
      </c>
      <c r="G3697" t="n">
        <v>16.1</v>
      </c>
      <c r="H3697" t="n">
        <v>0</v>
      </c>
      <c r="I3697" t="n">
        <v>0</v>
      </c>
      <c r="J3697" t="n">
        <v>0</v>
      </c>
      <c r="K3697" t="n">
        <v>0</v>
      </c>
      <c r="L3697" t="n">
        <v>0</v>
      </c>
      <c r="M3697" t="n">
        <v>0</v>
      </c>
      <c r="N3697" t="n">
        <v>0</v>
      </c>
      <c r="O3697" t="n">
        <v>0</v>
      </c>
      <c r="P3697" t="n">
        <v>0</v>
      </c>
      <c r="Q3697" t="n">
        <v>0</v>
      </c>
      <c r="R3697" s="2" t="inlineStr"/>
    </row>
    <row r="3698" ht="15" customHeight="1">
      <c r="A3698" t="inlineStr">
        <is>
          <t>A 30550-2025</t>
        </is>
      </c>
      <c r="B3698" s="1" t="n">
        <v>45831.38224537037</v>
      </c>
      <c r="C3698" s="1" t="n">
        <v>45952</v>
      </c>
      <c r="D3698" t="inlineStr">
        <is>
          <t>ÖREBRO LÄN</t>
        </is>
      </c>
      <c r="E3698" t="inlineStr">
        <is>
          <t>ÖREBRO</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30465-2025</t>
        </is>
      </c>
      <c r="B3699" s="1" t="n">
        <v>45827.76819444444</v>
      </c>
      <c r="C3699" s="1" t="n">
        <v>45952</v>
      </c>
      <c r="D3699" t="inlineStr">
        <is>
          <t>ÖREBRO LÄN</t>
        </is>
      </c>
      <c r="E3699" t="inlineStr">
        <is>
          <t>KUMLA</t>
        </is>
      </c>
      <c r="G3699" t="n">
        <v>18.7</v>
      </c>
      <c r="H3699" t="n">
        <v>0</v>
      </c>
      <c r="I3699" t="n">
        <v>0</v>
      </c>
      <c r="J3699" t="n">
        <v>0</v>
      </c>
      <c r="K3699" t="n">
        <v>0</v>
      </c>
      <c r="L3699" t="n">
        <v>0</v>
      </c>
      <c r="M3699" t="n">
        <v>0</v>
      </c>
      <c r="N3699" t="n">
        <v>0</v>
      </c>
      <c r="O3699" t="n">
        <v>0</v>
      </c>
      <c r="P3699" t="n">
        <v>0</v>
      </c>
      <c r="Q3699" t="n">
        <v>0</v>
      </c>
      <c r="R3699" s="2" t="inlineStr"/>
    </row>
    <row r="3700" ht="15" customHeight="1">
      <c r="A3700" t="inlineStr">
        <is>
          <t>A 45428-2023</t>
        </is>
      </c>
      <c r="B3700" s="1" t="n">
        <v>45194</v>
      </c>
      <c r="C3700" s="1" t="n">
        <v>45952</v>
      </c>
      <c r="D3700" t="inlineStr">
        <is>
          <t>ÖREBRO LÄN</t>
        </is>
      </c>
      <c r="E3700" t="inlineStr">
        <is>
          <t>LINDESBERG</t>
        </is>
      </c>
      <c r="G3700" t="n">
        <v>7.7</v>
      </c>
      <c r="H3700" t="n">
        <v>0</v>
      </c>
      <c r="I3700" t="n">
        <v>0</v>
      </c>
      <c r="J3700" t="n">
        <v>0</v>
      </c>
      <c r="K3700" t="n">
        <v>0</v>
      </c>
      <c r="L3700" t="n">
        <v>0</v>
      </c>
      <c r="M3700" t="n">
        <v>0</v>
      </c>
      <c r="N3700" t="n">
        <v>0</v>
      </c>
      <c r="O3700" t="n">
        <v>0</v>
      </c>
      <c r="P3700" t="n">
        <v>0</v>
      </c>
      <c r="Q3700" t="n">
        <v>0</v>
      </c>
      <c r="R3700" s="2" t="inlineStr"/>
    </row>
    <row r="3701" ht="15" customHeight="1">
      <c r="A3701" t="inlineStr">
        <is>
          <t>A 53595-2024</t>
        </is>
      </c>
      <c r="B3701" s="1" t="n">
        <v>45614.67861111111</v>
      </c>
      <c r="C3701" s="1" t="n">
        <v>45952</v>
      </c>
      <c r="D3701" t="inlineStr">
        <is>
          <t>ÖREBRO LÄN</t>
        </is>
      </c>
      <c r="E3701" t="inlineStr">
        <is>
          <t>LJUSNARSBERG</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28566-2024</t>
        </is>
      </c>
      <c r="B3702" s="1" t="n">
        <v>45478.38914351852</v>
      </c>
      <c r="C3702" s="1" t="n">
        <v>45952</v>
      </c>
      <c r="D3702" t="inlineStr">
        <is>
          <t>ÖREBRO LÄN</t>
        </is>
      </c>
      <c r="E3702" t="inlineStr">
        <is>
          <t>KARLSKOGA</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30731-2025</t>
        </is>
      </c>
      <c r="B3703" s="1" t="n">
        <v>45831.57280092593</v>
      </c>
      <c r="C3703" s="1" t="n">
        <v>45952</v>
      </c>
      <c r="D3703" t="inlineStr">
        <is>
          <t>ÖREBRO LÄN</t>
        </is>
      </c>
      <c r="E3703" t="inlineStr">
        <is>
          <t>ÖREBRO</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30747-2025</t>
        </is>
      </c>
      <c r="B3704" s="1" t="n">
        <v>45831.58487268518</v>
      </c>
      <c r="C3704" s="1" t="n">
        <v>45952</v>
      </c>
      <c r="D3704" t="inlineStr">
        <is>
          <t>ÖREBRO LÄN</t>
        </is>
      </c>
      <c r="E3704" t="inlineStr">
        <is>
          <t>HÄLLEFORS</t>
        </is>
      </c>
      <c r="G3704" t="n">
        <v>2.9</v>
      </c>
      <c r="H3704" t="n">
        <v>0</v>
      </c>
      <c r="I3704" t="n">
        <v>0</v>
      </c>
      <c r="J3704" t="n">
        <v>0</v>
      </c>
      <c r="K3704" t="n">
        <v>0</v>
      </c>
      <c r="L3704" t="n">
        <v>0</v>
      </c>
      <c r="M3704" t="n">
        <v>0</v>
      </c>
      <c r="N3704" t="n">
        <v>0</v>
      </c>
      <c r="O3704" t="n">
        <v>0</v>
      </c>
      <c r="P3704" t="n">
        <v>0</v>
      </c>
      <c r="Q3704" t="n">
        <v>0</v>
      </c>
      <c r="R3704" s="2" t="inlineStr"/>
    </row>
    <row r="3705" ht="15" customHeight="1">
      <c r="A3705" t="inlineStr">
        <is>
          <t>A 4716-2022</t>
        </is>
      </c>
      <c r="B3705" s="1" t="n">
        <v>44592</v>
      </c>
      <c r="C3705" s="1" t="n">
        <v>45952</v>
      </c>
      <c r="D3705" t="inlineStr">
        <is>
          <t>ÖREBRO LÄN</t>
        </is>
      </c>
      <c r="E3705" t="inlineStr">
        <is>
          <t>HÄLLEFORS</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40339-2024</t>
        </is>
      </c>
      <c r="B3706" s="1" t="n">
        <v>45555.33125</v>
      </c>
      <c r="C3706" s="1" t="n">
        <v>45952</v>
      </c>
      <c r="D3706" t="inlineStr">
        <is>
          <t>ÖREBRO LÄN</t>
        </is>
      </c>
      <c r="E3706" t="inlineStr">
        <is>
          <t>NORA</t>
        </is>
      </c>
      <c r="G3706" t="n">
        <v>1.3</v>
      </c>
      <c r="H3706" t="n">
        <v>0</v>
      </c>
      <c r="I3706" t="n">
        <v>0</v>
      </c>
      <c r="J3706" t="n">
        <v>0</v>
      </c>
      <c r="K3706" t="n">
        <v>0</v>
      </c>
      <c r="L3706" t="n">
        <v>0</v>
      </c>
      <c r="M3706" t="n">
        <v>0</v>
      </c>
      <c r="N3706" t="n">
        <v>0</v>
      </c>
      <c r="O3706" t="n">
        <v>0</v>
      </c>
      <c r="P3706" t="n">
        <v>0</v>
      </c>
      <c r="Q3706" t="n">
        <v>0</v>
      </c>
      <c r="R3706" s="2" t="inlineStr"/>
    </row>
    <row r="3707" ht="15" customHeight="1">
      <c r="A3707" t="inlineStr">
        <is>
          <t>A 25563-2022</t>
        </is>
      </c>
      <c r="B3707" s="1" t="n">
        <v>44732.63936342593</v>
      </c>
      <c r="C3707" s="1" t="n">
        <v>45952</v>
      </c>
      <c r="D3707" t="inlineStr">
        <is>
          <t>ÖREBRO LÄN</t>
        </is>
      </c>
      <c r="E3707" t="inlineStr">
        <is>
          <t>LAXÅ</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41008-2024</t>
        </is>
      </c>
      <c r="B3708" s="1" t="n">
        <v>45559</v>
      </c>
      <c r="C3708" s="1" t="n">
        <v>45952</v>
      </c>
      <c r="D3708" t="inlineStr">
        <is>
          <t>ÖREBRO LÄN</t>
        </is>
      </c>
      <c r="E3708" t="inlineStr">
        <is>
          <t>LEKEBERG</t>
        </is>
      </c>
      <c r="G3708" t="n">
        <v>2.6</v>
      </c>
      <c r="H3708" t="n">
        <v>0</v>
      </c>
      <c r="I3708" t="n">
        <v>0</v>
      </c>
      <c r="J3708" t="n">
        <v>0</v>
      </c>
      <c r="K3708" t="n">
        <v>0</v>
      </c>
      <c r="L3708" t="n">
        <v>0</v>
      </c>
      <c r="M3708" t="n">
        <v>0</v>
      </c>
      <c r="N3708" t="n">
        <v>0</v>
      </c>
      <c r="O3708" t="n">
        <v>0</v>
      </c>
      <c r="P3708" t="n">
        <v>0</v>
      </c>
      <c r="Q3708" t="n">
        <v>0</v>
      </c>
      <c r="R3708" s="2" t="inlineStr"/>
    </row>
    <row r="3709" ht="15" customHeight="1">
      <c r="A3709" t="inlineStr">
        <is>
          <t>A 26662-2022</t>
        </is>
      </c>
      <c r="B3709" s="1" t="n">
        <v>44739.6334375</v>
      </c>
      <c r="C3709" s="1" t="n">
        <v>45952</v>
      </c>
      <c r="D3709" t="inlineStr">
        <is>
          <t>ÖREBRO LÄN</t>
        </is>
      </c>
      <c r="E3709" t="inlineStr">
        <is>
          <t>ASKERSUND</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41181-2023</t>
        </is>
      </c>
      <c r="B3710" s="1" t="n">
        <v>45174</v>
      </c>
      <c r="C3710" s="1" t="n">
        <v>45952</v>
      </c>
      <c r="D3710" t="inlineStr">
        <is>
          <t>ÖREBRO LÄN</t>
        </is>
      </c>
      <c r="E3710" t="inlineStr">
        <is>
          <t>HALLSBERG</t>
        </is>
      </c>
      <c r="F3710" t="inlineStr">
        <is>
          <t>Allmännings- och besparingsskogar</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53897-2024</t>
        </is>
      </c>
      <c r="B3711" s="1" t="n">
        <v>45615.69570601852</v>
      </c>
      <c r="C3711" s="1" t="n">
        <v>45952</v>
      </c>
      <c r="D3711" t="inlineStr">
        <is>
          <t>ÖREBRO LÄN</t>
        </is>
      </c>
      <c r="E3711" t="inlineStr">
        <is>
          <t>LINDESBERG</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22797-2024</t>
        </is>
      </c>
      <c r="B3712" s="1" t="n">
        <v>45448.51060185185</v>
      </c>
      <c r="C3712" s="1" t="n">
        <v>45952</v>
      </c>
      <c r="D3712" t="inlineStr">
        <is>
          <t>ÖREBRO LÄN</t>
        </is>
      </c>
      <c r="E3712" t="inlineStr">
        <is>
          <t>LAXÅ</t>
        </is>
      </c>
      <c r="F3712" t="inlineStr">
        <is>
          <t>Övriga statliga verk och myndigheter</t>
        </is>
      </c>
      <c r="G3712" t="n">
        <v>2.4</v>
      </c>
      <c r="H3712" t="n">
        <v>0</v>
      </c>
      <c r="I3712" t="n">
        <v>0</v>
      </c>
      <c r="J3712" t="n">
        <v>0</v>
      </c>
      <c r="K3712" t="n">
        <v>0</v>
      </c>
      <c r="L3712" t="n">
        <v>0</v>
      </c>
      <c r="M3712" t="n">
        <v>0</v>
      </c>
      <c r="N3712" t="n">
        <v>0</v>
      </c>
      <c r="O3712" t="n">
        <v>0</v>
      </c>
      <c r="P3712" t="n">
        <v>0</v>
      </c>
      <c r="Q3712" t="n">
        <v>0</v>
      </c>
      <c r="R3712" s="2" t="inlineStr"/>
    </row>
    <row r="3713" ht="15" customHeight="1">
      <c r="A3713" t="inlineStr">
        <is>
          <t>A 63142-2023</t>
        </is>
      </c>
      <c r="B3713" s="1" t="n">
        <v>45273</v>
      </c>
      <c r="C3713" s="1" t="n">
        <v>45952</v>
      </c>
      <c r="D3713" t="inlineStr">
        <is>
          <t>ÖREBRO LÄN</t>
        </is>
      </c>
      <c r="E3713" t="inlineStr">
        <is>
          <t>ÖREBRO</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56907-2024</t>
        </is>
      </c>
      <c r="B3714" s="1" t="n">
        <v>45628.58975694444</v>
      </c>
      <c r="C3714" s="1" t="n">
        <v>45952</v>
      </c>
      <c r="D3714" t="inlineStr">
        <is>
          <t>ÖREBRO LÄN</t>
        </is>
      </c>
      <c r="E3714" t="inlineStr">
        <is>
          <t>LINDESBERG</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38382-2022</t>
        </is>
      </c>
      <c r="B3715" s="1" t="n">
        <v>44812</v>
      </c>
      <c r="C3715" s="1" t="n">
        <v>45952</v>
      </c>
      <c r="D3715" t="inlineStr">
        <is>
          <t>ÖREBRO LÄN</t>
        </is>
      </c>
      <c r="E3715" t="inlineStr">
        <is>
          <t>KARLSKOGA</t>
        </is>
      </c>
      <c r="F3715" t="inlineStr">
        <is>
          <t>Kyrkan</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46835-2024</t>
        </is>
      </c>
      <c r="B3716" s="1" t="n">
        <v>45583</v>
      </c>
      <c r="C3716" s="1" t="n">
        <v>45952</v>
      </c>
      <c r="D3716" t="inlineStr">
        <is>
          <t>ÖREBRO LÄN</t>
        </is>
      </c>
      <c r="E3716" t="inlineStr">
        <is>
          <t>HALLSBERG</t>
        </is>
      </c>
      <c r="F3716" t="inlineStr">
        <is>
          <t>Sveaskog</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30466-2025</t>
        </is>
      </c>
      <c r="B3717" s="1" t="n">
        <v>45827.77037037037</v>
      </c>
      <c r="C3717" s="1" t="n">
        <v>45952</v>
      </c>
      <c r="D3717" t="inlineStr">
        <is>
          <t>ÖREBRO LÄN</t>
        </is>
      </c>
      <c r="E3717" t="inlineStr">
        <is>
          <t>KUMLA</t>
        </is>
      </c>
      <c r="G3717" t="n">
        <v>5.8</v>
      </c>
      <c r="H3717" t="n">
        <v>0</v>
      </c>
      <c r="I3717" t="n">
        <v>0</v>
      </c>
      <c r="J3717" t="n">
        <v>0</v>
      </c>
      <c r="K3717" t="n">
        <v>0</v>
      </c>
      <c r="L3717" t="n">
        <v>0</v>
      </c>
      <c r="M3717" t="n">
        <v>0</v>
      </c>
      <c r="N3717" t="n">
        <v>0</v>
      </c>
      <c r="O3717" t="n">
        <v>0</v>
      </c>
      <c r="P3717" t="n">
        <v>0</v>
      </c>
      <c r="Q3717" t="n">
        <v>0</v>
      </c>
      <c r="R3717" s="2" t="inlineStr"/>
    </row>
    <row r="3718" ht="15" customHeight="1">
      <c r="A3718" t="inlineStr">
        <is>
          <t>A 58479-2024</t>
        </is>
      </c>
      <c r="B3718" s="1" t="n">
        <v>45635.38675925926</v>
      </c>
      <c r="C3718" s="1" t="n">
        <v>45952</v>
      </c>
      <c r="D3718" t="inlineStr">
        <is>
          <t>ÖREBRO LÄN</t>
        </is>
      </c>
      <c r="E3718" t="inlineStr">
        <is>
          <t>DEGERFORS</t>
        </is>
      </c>
      <c r="F3718" t="inlineStr">
        <is>
          <t>Sveaskog</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9906-2024</t>
        </is>
      </c>
      <c r="B3719" s="1" t="n">
        <v>45363.53322916666</v>
      </c>
      <c r="C3719" s="1" t="n">
        <v>45952</v>
      </c>
      <c r="D3719" t="inlineStr">
        <is>
          <t>ÖREBRO LÄN</t>
        </is>
      </c>
      <c r="E3719" t="inlineStr">
        <is>
          <t>HÄLLEFORS</t>
        </is>
      </c>
      <c r="F3719" t="inlineStr">
        <is>
          <t>Bergvik skog väst AB</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23741-2022</t>
        </is>
      </c>
      <c r="B3720" s="1" t="n">
        <v>44722</v>
      </c>
      <c r="C3720" s="1" t="n">
        <v>45952</v>
      </c>
      <c r="D3720" t="inlineStr">
        <is>
          <t>ÖREBRO LÄN</t>
        </is>
      </c>
      <c r="E3720" t="inlineStr">
        <is>
          <t>ÖREBRO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30931-2025</t>
        </is>
      </c>
      <c r="B3721" s="1" t="n">
        <v>45832.40206018519</v>
      </c>
      <c r="C3721" s="1" t="n">
        <v>45952</v>
      </c>
      <c r="D3721" t="inlineStr">
        <is>
          <t>ÖREBRO LÄN</t>
        </is>
      </c>
      <c r="E3721" t="inlineStr">
        <is>
          <t>LJUSNARSBERG</t>
        </is>
      </c>
      <c r="F3721" t="inlineStr">
        <is>
          <t>Sveaskog</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30935-2025</t>
        </is>
      </c>
      <c r="B3722" s="1" t="n">
        <v>45832.40581018518</v>
      </c>
      <c r="C3722" s="1" t="n">
        <v>45952</v>
      </c>
      <c r="D3722" t="inlineStr">
        <is>
          <t>ÖREBRO LÄN</t>
        </is>
      </c>
      <c r="E3722" t="inlineStr">
        <is>
          <t>LJUSNARSBERG</t>
        </is>
      </c>
      <c r="F3722" t="inlineStr">
        <is>
          <t>Sveaskog</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7992-2025</t>
        </is>
      </c>
      <c r="B3723" s="1" t="n">
        <v>45707</v>
      </c>
      <c r="C3723" s="1" t="n">
        <v>45952</v>
      </c>
      <c r="D3723" t="inlineStr">
        <is>
          <t>ÖREBRO LÄN</t>
        </is>
      </c>
      <c r="E3723" t="inlineStr">
        <is>
          <t>LINDESBERG</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18132-2025</t>
        </is>
      </c>
      <c r="B3724" s="1" t="n">
        <v>45761.60049768518</v>
      </c>
      <c r="C3724" s="1" t="n">
        <v>45952</v>
      </c>
      <c r="D3724" t="inlineStr">
        <is>
          <t>ÖREBRO LÄN</t>
        </is>
      </c>
      <c r="E3724" t="inlineStr">
        <is>
          <t>HALLSBERG</t>
        </is>
      </c>
      <c r="F3724" t="inlineStr">
        <is>
          <t>Sveaskog</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18409-2023</t>
        </is>
      </c>
      <c r="B3725" s="1" t="n">
        <v>45042.4005787037</v>
      </c>
      <c r="C3725" s="1" t="n">
        <v>45952</v>
      </c>
      <c r="D3725" t="inlineStr">
        <is>
          <t>ÖREBRO LÄN</t>
        </is>
      </c>
      <c r="E3725" t="inlineStr">
        <is>
          <t>ASKERSUND</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59121-2024</t>
        </is>
      </c>
      <c r="B3726" s="1" t="n">
        <v>45637.37755787037</v>
      </c>
      <c r="C3726" s="1" t="n">
        <v>45952</v>
      </c>
      <c r="D3726" t="inlineStr">
        <is>
          <t>ÖREBRO LÄN</t>
        </is>
      </c>
      <c r="E3726" t="inlineStr">
        <is>
          <t>ÖREBRO</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64615-2023</t>
        </is>
      </c>
      <c r="B3727" s="1" t="n">
        <v>45281.52231481481</v>
      </c>
      <c r="C3727" s="1" t="n">
        <v>45952</v>
      </c>
      <c r="D3727" t="inlineStr">
        <is>
          <t>ÖREBRO LÄN</t>
        </is>
      </c>
      <c r="E3727" t="inlineStr">
        <is>
          <t>LEKEBERG</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30928-2025</t>
        </is>
      </c>
      <c r="B3728" s="1" t="n">
        <v>45832.39780092592</v>
      </c>
      <c r="C3728" s="1" t="n">
        <v>45952</v>
      </c>
      <c r="D3728" t="inlineStr">
        <is>
          <t>ÖREBRO LÄN</t>
        </is>
      </c>
      <c r="E3728" t="inlineStr">
        <is>
          <t>LJUSNARSBERG</t>
        </is>
      </c>
      <c r="F3728" t="inlineStr">
        <is>
          <t>Sveaskog</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34501-2024</t>
        </is>
      </c>
      <c r="B3729" s="1" t="n">
        <v>45525.64034722222</v>
      </c>
      <c r="C3729" s="1" t="n">
        <v>45952</v>
      </c>
      <c r="D3729" t="inlineStr">
        <is>
          <t>ÖREBRO LÄN</t>
        </is>
      </c>
      <c r="E3729" t="inlineStr">
        <is>
          <t>ASKERSUND</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34535-2024</t>
        </is>
      </c>
      <c r="B3730" s="1" t="n">
        <v>45525</v>
      </c>
      <c r="C3730" s="1" t="n">
        <v>45952</v>
      </c>
      <c r="D3730" t="inlineStr">
        <is>
          <t>ÖREBRO LÄN</t>
        </is>
      </c>
      <c r="E3730" t="inlineStr">
        <is>
          <t>LAXÅ</t>
        </is>
      </c>
      <c r="G3730" t="n">
        <v>1.6</v>
      </c>
      <c r="H3730" t="n">
        <v>0</v>
      </c>
      <c r="I3730" t="n">
        <v>0</v>
      </c>
      <c r="J3730" t="n">
        <v>0</v>
      </c>
      <c r="K3730" t="n">
        <v>0</v>
      </c>
      <c r="L3730" t="n">
        <v>0</v>
      </c>
      <c r="M3730" t="n">
        <v>0</v>
      </c>
      <c r="N3730" t="n">
        <v>0</v>
      </c>
      <c r="O3730" t="n">
        <v>0</v>
      </c>
      <c r="P3730" t="n">
        <v>0</v>
      </c>
      <c r="Q3730" t="n">
        <v>0</v>
      </c>
      <c r="R3730" s="2" t="inlineStr"/>
    </row>
    <row r="3731" ht="15" customHeight="1">
      <c r="A3731" t="inlineStr">
        <is>
          <t>A 65068-2023</t>
        </is>
      </c>
      <c r="B3731" s="1" t="n">
        <v>45285</v>
      </c>
      <c r="C3731" s="1" t="n">
        <v>45952</v>
      </c>
      <c r="D3731" t="inlineStr">
        <is>
          <t>ÖREBRO LÄN</t>
        </is>
      </c>
      <c r="E3731" t="inlineStr">
        <is>
          <t>ASKERSUND</t>
        </is>
      </c>
      <c r="G3731" t="n">
        <v>2.7</v>
      </c>
      <c r="H3731" t="n">
        <v>0</v>
      </c>
      <c r="I3731" t="n">
        <v>0</v>
      </c>
      <c r="J3731" t="n">
        <v>0</v>
      </c>
      <c r="K3731" t="n">
        <v>0</v>
      </c>
      <c r="L3731" t="n">
        <v>0</v>
      </c>
      <c r="M3731" t="n">
        <v>0</v>
      </c>
      <c r="N3731" t="n">
        <v>0</v>
      </c>
      <c r="O3731" t="n">
        <v>0</v>
      </c>
      <c r="P3731" t="n">
        <v>0</v>
      </c>
      <c r="Q3731" t="n">
        <v>0</v>
      </c>
      <c r="R3731" s="2" t="inlineStr"/>
    </row>
    <row r="3732" ht="15" customHeight="1">
      <c r="A3732" t="inlineStr">
        <is>
          <t>A 31397-2025</t>
        </is>
      </c>
      <c r="B3732" s="1" t="n">
        <v>45833</v>
      </c>
      <c r="C3732" s="1" t="n">
        <v>45952</v>
      </c>
      <c r="D3732" t="inlineStr">
        <is>
          <t>ÖREBRO LÄN</t>
        </is>
      </c>
      <c r="E3732" t="inlineStr">
        <is>
          <t>KARLSKOGA</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17242-2025</t>
        </is>
      </c>
      <c r="B3733" s="1" t="n">
        <v>45756.49009259259</v>
      </c>
      <c r="C3733" s="1" t="n">
        <v>45952</v>
      </c>
      <c r="D3733" t="inlineStr">
        <is>
          <t>ÖREBRO LÄN</t>
        </is>
      </c>
      <c r="E3733" t="inlineStr">
        <is>
          <t>LINDESBERG</t>
        </is>
      </c>
      <c r="G3733" t="n">
        <v>7.3</v>
      </c>
      <c r="H3733" t="n">
        <v>0</v>
      </c>
      <c r="I3733" t="n">
        <v>0</v>
      </c>
      <c r="J3733" t="n">
        <v>0</v>
      </c>
      <c r="K3733" t="n">
        <v>0</v>
      </c>
      <c r="L3733" t="n">
        <v>0</v>
      </c>
      <c r="M3733" t="n">
        <v>0</v>
      </c>
      <c r="N3733" t="n">
        <v>0</v>
      </c>
      <c r="O3733" t="n">
        <v>0</v>
      </c>
      <c r="P3733" t="n">
        <v>0</v>
      </c>
      <c r="Q3733" t="n">
        <v>0</v>
      </c>
      <c r="R3733" s="2" t="inlineStr"/>
    </row>
    <row r="3734" ht="15" customHeight="1">
      <c r="A3734" t="inlineStr">
        <is>
          <t>A 9704-2023</t>
        </is>
      </c>
      <c r="B3734" s="1" t="n">
        <v>44984</v>
      </c>
      <c r="C3734" s="1" t="n">
        <v>45952</v>
      </c>
      <c r="D3734" t="inlineStr">
        <is>
          <t>ÖREBRO LÄN</t>
        </is>
      </c>
      <c r="E3734" t="inlineStr">
        <is>
          <t>ÖREBRO</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16643-2023</t>
        </is>
      </c>
      <c r="B3735" s="1" t="n">
        <v>45030.49903935185</v>
      </c>
      <c r="C3735" s="1" t="n">
        <v>45952</v>
      </c>
      <c r="D3735" t="inlineStr">
        <is>
          <t>ÖREBRO LÄN</t>
        </is>
      </c>
      <c r="E3735" t="inlineStr">
        <is>
          <t>ASKERSUND</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51479-2022</t>
        </is>
      </c>
      <c r="B3736" s="1" t="n">
        <v>44869</v>
      </c>
      <c r="C3736" s="1" t="n">
        <v>45952</v>
      </c>
      <c r="D3736" t="inlineStr">
        <is>
          <t>ÖREBRO LÄN</t>
        </is>
      </c>
      <c r="E3736" t="inlineStr">
        <is>
          <t>HALLSBERG</t>
        </is>
      </c>
      <c r="F3736" t="inlineStr">
        <is>
          <t>Övriga Aktiebolag</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31220-2025</t>
        </is>
      </c>
      <c r="B3737" s="1" t="n">
        <v>45832.76100694444</v>
      </c>
      <c r="C3737" s="1" t="n">
        <v>45952</v>
      </c>
      <c r="D3737" t="inlineStr">
        <is>
          <t>ÖREBRO LÄN</t>
        </is>
      </c>
      <c r="E3737" t="inlineStr">
        <is>
          <t>LINDESBERG</t>
        </is>
      </c>
      <c r="F3737" t="inlineStr">
        <is>
          <t>Sveaskog</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31221-2025</t>
        </is>
      </c>
      <c r="B3738" s="1" t="n">
        <v>45832.76491898148</v>
      </c>
      <c r="C3738" s="1" t="n">
        <v>45952</v>
      </c>
      <c r="D3738" t="inlineStr">
        <is>
          <t>ÖREBRO LÄN</t>
        </is>
      </c>
      <c r="E3738" t="inlineStr">
        <is>
          <t>LINDESBERG</t>
        </is>
      </c>
      <c r="F3738" t="inlineStr">
        <is>
          <t>Sveaskog</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31232-2025</t>
        </is>
      </c>
      <c r="B3739" s="1" t="n">
        <v>45832.8252199074</v>
      </c>
      <c r="C3739" s="1" t="n">
        <v>45952</v>
      </c>
      <c r="D3739" t="inlineStr">
        <is>
          <t>ÖREBRO LÄN</t>
        </is>
      </c>
      <c r="E3739" t="inlineStr">
        <is>
          <t>ÖREBRO</t>
        </is>
      </c>
      <c r="F3739" t="inlineStr">
        <is>
          <t>Övriga Aktiebolag</t>
        </is>
      </c>
      <c r="G3739" t="n">
        <v>2.1</v>
      </c>
      <c r="H3739" t="n">
        <v>0</v>
      </c>
      <c r="I3739" t="n">
        <v>0</v>
      </c>
      <c r="J3739" t="n">
        <v>0</v>
      </c>
      <c r="K3739" t="n">
        <v>0</v>
      </c>
      <c r="L3739" t="n">
        <v>0</v>
      </c>
      <c r="M3739" t="n">
        <v>0</v>
      </c>
      <c r="N3739" t="n">
        <v>0</v>
      </c>
      <c r="O3739" t="n">
        <v>0</v>
      </c>
      <c r="P3739" t="n">
        <v>0</v>
      </c>
      <c r="Q3739" t="n">
        <v>0</v>
      </c>
      <c r="R3739" s="2" t="inlineStr"/>
    </row>
    <row r="3740" ht="15" customHeight="1">
      <c r="A3740" t="inlineStr">
        <is>
          <t>A 30951-2025</t>
        </is>
      </c>
      <c r="B3740" s="1" t="n">
        <v>45832.43225694444</v>
      </c>
      <c r="C3740" s="1" t="n">
        <v>45952</v>
      </c>
      <c r="D3740" t="inlineStr">
        <is>
          <t>ÖREBRO LÄN</t>
        </is>
      </c>
      <c r="E3740" t="inlineStr">
        <is>
          <t>ÖREBRO</t>
        </is>
      </c>
      <c r="F3740" t="inlineStr">
        <is>
          <t>Övriga Aktiebolag</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31000-2025</t>
        </is>
      </c>
      <c r="B3741" s="1" t="n">
        <v>45832.49325231482</v>
      </c>
      <c r="C3741" s="1" t="n">
        <v>45952</v>
      </c>
      <c r="D3741" t="inlineStr">
        <is>
          <t>ÖREBRO LÄN</t>
        </is>
      </c>
      <c r="E3741" t="inlineStr">
        <is>
          <t>LINDESBERG</t>
        </is>
      </c>
      <c r="F3741" t="inlineStr">
        <is>
          <t>Sveaskog</t>
        </is>
      </c>
      <c r="G3741" t="n">
        <v>3.2</v>
      </c>
      <c r="H3741" t="n">
        <v>0</v>
      </c>
      <c r="I3741" t="n">
        <v>0</v>
      </c>
      <c r="J3741" t="n">
        <v>0</v>
      </c>
      <c r="K3741" t="n">
        <v>0</v>
      </c>
      <c r="L3741" t="n">
        <v>0</v>
      </c>
      <c r="M3741" t="n">
        <v>0</v>
      </c>
      <c r="N3741" t="n">
        <v>0</v>
      </c>
      <c r="O3741" t="n">
        <v>0</v>
      </c>
      <c r="P3741" t="n">
        <v>0</v>
      </c>
      <c r="Q3741" t="n">
        <v>0</v>
      </c>
      <c r="R3741" s="2" t="inlineStr"/>
    </row>
    <row r="3742" ht="15" customHeight="1">
      <c r="A3742" t="inlineStr">
        <is>
          <t>A 31018-2025</t>
        </is>
      </c>
      <c r="B3742" s="1" t="n">
        <v>45832.51255787037</v>
      </c>
      <c r="C3742" s="1" t="n">
        <v>45952</v>
      </c>
      <c r="D3742" t="inlineStr">
        <is>
          <t>ÖREBRO LÄN</t>
        </is>
      </c>
      <c r="E3742" t="inlineStr">
        <is>
          <t>LINDESBERG</t>
        </is>
      </c>
      <c r="F3742" t="inlineStr">
        <is>
          <t>Sveaskog</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31049-2025</t>
        </is>
      </c>
      <c r="B3743" s="1" t="n">
        <v>45832.55810185185</v>
      </c>
      <c r="C3743" s="1" t="n">
        <v>45952</v>
      </c>
      <c r="D3743" t="inlineStr">
        <is>
          <t>ÖREBRO LÄN</t>
        </is>
      </c>
      <c r="E3743" t="inlineStr">
        <is>
          <t>LINDESBERG</t>
        </is>
      </c>
      <c r="F3743" t="inlineStr">
        <is>
          <t>Sveaskog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57521-2023</t>
        </is>
      </c>
      <c r="B3744" s="1" t="n">
        <v>45240</v>
      </c>
      <c r="C3744" s="1" t="n">
        <v>45952</v>
      </c>
      <c r="D3744" t="inlineStr">
        <is>
          <t>ÖREBRO LÄN</t>
        </is>
      </c>
      <c r="E3744" t="inlineStr">
        <is>
          <t>LAXÅ</t>
        </is>
      </c>
      <c r="G3744" t="n">
        <v>4.2</v>
      </c>
      <c r="H3744" t="n">
        <v>0</v>
      </c>
      <c r="I3744" t="n">
        <v>0</v>
      </c>
      <c r="J3744" t="n">
        <v>0</v>
      </c>
      <c r="K3744" t="n">
        <v>0</v>
      </c>
      <c r="L3744" t="n">
        <v>0</v>
      </c>
      <c r="M3744" t="n">
        <v>0</v>
      </c>
      <c r="N3744" t="n">
        <v>0</v>
      </c>
      <c r="O3744" t="n">
        <v>0</v>
      </c>
      <c r="P3744" t="n">
        <v>0</v>
      </c>
      <c r="Q3744" t="n">
        <v>0</v>
      </c>
      <c r="R3744" s="2" t="inlineStr"/>
    </row>
    <row r="3745" ht="15" customHeight="1">
      <c r="A3745" t="inlineStr">
        <is>
          <t>A 57534-2023</t>
        </is>
      </c>
      <c r="B3745" s="1" t="n">
        <v>45240</v>
      </c>
      <c r="C3745" s="1" t="n">
        <v>45952</v>
      </c>
      <c r="D3745" t="inlineStr">
        <is>
          <t>ÖREBRO LÄN</t>
        </is>
      </c>
      <c r="E3745" t="inlineStr">
        <is>
          <t>LAXÅ</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31233-2025</t>
        </is>
      </c>
      <c r="B3746" s="1" t="n">
        <v>45832.83341435185</v>
      </c>
      <c r="C3746" s="1" t="n">
        <v>45952</v>
      </c>
      <c r="D3746" t="inlineStr">
        <is>
          <t>ÖREBRO LÄN</t>
        </is>
      </c>
      <c r="E3746" t="inlineStr">
        <is>
          <t>ÖREBRO</t>
        </is>
      </c>
      <c r="F3746" t="inlineStr">
        <is>
          <t>Övriga Aktiebolag</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46866-2024</t>
        </is>
      </c>
      <c r="B3747" s="1" t="n">
        <v>45583</v>
      </c>
      <c r="C3747" s="1" t="n">
        <v>45952</v>
      </c>
      <c r="D3747" t="inlineStr">
        <is>
          <t>ÖREBRO LÄN</t>
        </is>
      </c>
      <c r="E3747" t="inlineStr">
        <is>
          <t>HALLSBERG</t>
        </is>
      </c>
      <c r="F3747" t="inlineStr">
        <is>
          <t>Sveaskog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31213-2025</t>
        </is>
      </c>
      <c r="B3748" s="1" t="n">
        <v>45832.72778935185</v>
      </c>
      <c r="C3748" s="1" t="n">
        <v>45952</v>
      </c>
      <c r="D3748" t="inlineStr">
        <is>
          <t>ÖREBRO LÄN</t>
        </is>
      </c>
      <c r="E3748" t="inlineStr">
        <is>
          <t>LINDESBERG</t>
        </is>
      </c>
      <c r="F3748" t="inlineStr">
        <is>
          <t>Sveaskog</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59516-2020</t>
        </is>
      </c>
      <c r="B3749" s="1" t="n">
        <v>44148</v>
      </c>
      <c r="C3749" s="1" t="n">
        <v>45952</v>
      </c>
      <c r="D3749" t="inlineStr">
        <is>
          <t>ÖREBRO LÄN</t>
        </is>
      </c>
      <c r="E3749" t="inlineStr">
        <is>
          <t>LJUSNARSBERG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31085-2025</t>
        </is>
      </c>
      <c r="B3750" s="1" t="n">
        <v>45832.5902662037</v>
      </c>
      <c r="C3750" s="1" t="n">
        <v>45952</v>
      </c>
      <c r="D3750" t="inlineStr">
        <is>
          <t>ÖREBRO LÄN</t>
        </is>
      </c>
      <c r="E3750" t="inlineStr">
        <is>
          <t>LINDESBERG</t>
        </is>
      </c>
      <c r="F3750" t="inlineStr">
        <is>
          <t>Sveaskog</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1683-2023</t>
        </is>
      </c>
      <c r="B3751" s="1" t="n">
        <v>44938</v>
      </c>
      <c r="C3751" s="1" t="n">
        <v>45952</v>
      </c>
      <c r="D3751" t="inlineStr">
        <is>
          <t>ÖREBRO LÄN</t>
        </is>
      </c>
      <c r="E3751" t="inlineStr">
        <is>
          <t>LJUSNARSBERG</t>
        </is>
      </c>
      <c r="F3751" t="inlineStr">
        <is>
          <t>Bergvik skog väst AB</t>
        </is>
      </c>
      <c r="G3751" t="n">
        <v>14.7</v>
      </c>
      <c r="H3751" t="n">
        <v>0</v>
      </c>
      <c r="I3751" t="n">
        <v>0</v>
      </c>
      <c r="J3751" t="n">
        <v>0</v>
      </c>
      <c r="K3751" t="n">
        <v>0</v>
      </c>
      <c r="L3751" t="n">
        <v>0</v>
      </c>
      <c r="M3751" t="n">
        <v>0</v>
      </c>
      <c r="N3751" t="n">
        <v>0</v>
      </c>
      <c r="O3751" t="n">
        <v>0</v>
      </c>
      <c r="P3751" t="n">
        <v>0</v>
      </c>
      <c r="Q3751" t="n">
        <v>0</v>
      </c>
      <c r="R3751" s="2" t="inlineStr"/>
    </row>
    <row r="3752" ht="15" customHeight="1">
      <c r="A3752" t="inlineStr">
        <is>
          <t>A 31215-2025</t>
        </is>
      </c>
      <c r="B3752" s="1" t="n">
        <v>45832.74418981482</v>
      </c>
      <c r="C3752" s="1" t="n">
        <v>45952</v>
      </c>
      <c r="D3752" t="inlineStr">
        <is>
          <t>ÖREBRO LÄN</t>
        </is>
      </c>
      <c r="E3752" t="inlineStr">
        <is>
          <t>LINDESBERG</t>
        </is>
      </c>
      <c r="F3752" t="inlineStr">
        <is>
          <t>Sveaskog</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30930-2025</t>
        </is>
      </c>
      <c r="B3753" s="1" t="n">
        <v>45832.39980324074</v>
      </c>
      <c r="C3753" s="1" t="n">
        <v>45952</v>
      </c>
      <c r="D3753" t="inlineStr">
        <is>
          <t>ÖREBRO LÄN</t>
        </is>
      </c>
      <c r="E3753" t="inlineStr">
        <is>
          <t>LJUSNARSBERG</t>
        </is>
      </c>
      <c r="F3753" t="inlineStr">
        <is>
          <t>Sveaskog</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31237-2025</t>
        </is>
      </c>
      <c r="B3754" s="1" t="n">
        <v>45832.84313657408</v>
      </c>
      <c r="C3754" s="1" t="n">
        <v>45952</v>
      </c>
      <c r="D3754" t="inlineStr">
        <is>
          <t>ÖREBRO LÄN</t>
        </is>
      </c>
      <c r="E3754" t="inlineStr">
        <is>
          <t>ÖREBRO</t>
        </is>
      </c>
      <c r="F3754" t="inlineStr">
        <is>
          <t>Övriga Aktiebolag</t>
        </is>
      </c>
      <c r="G3754" t="n">
        <v>1.7</v>
      </c>
      <c r="H3754" t="n">
        <v>0</v>
      </c>
      <c r="I3754" t="n">
        <v>0</v>
      </c>
      <c r="J3754" t="n">
        <v>0</v>
      </c>
      <c r="K3754" t="n">
        <v>0</v>
      </c>
      <c r="L3754" t="n">
        <v>0</v>
      </c>
      <c r="M3754" t="n">
        <v>0</v>
      </c>
      <c r="N3754" t="n">
        <v>0</v>
      </c>
      <c r="O3754" t="n">
        <v>0</v>
      </c>
      <c r="P3754" t="n">
        <v>0</v>
      </c>
      <c r="Q3754" t="n">
        <v>0</v>
      </c>
      <c r="R3754" s="2" t="inlineStr"/>
    </row>
    <row r="3755" ht="15" customHeight="1">
      <c r="A3755" t="inlineStr">
        <is>
          <t>A 31603-2025</t>
        </is>
      </c>
      <c r="B3755" s="1" t="n">
        <v>45833.73876157407</v>
      </c>
      <c r="C3755" s="1" t="n">
        <v>45952</v>
      </c>
      <c r="D3755" t="inlineStr">
        <is>
          <t>ÖREBRO LÄN</t>
        </is>
      </c>
      <c r="E3755" t="inlineStr">
        <is>
          <t>DEGERFORS</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31003-2025</t>
        </is>
      </c>
      <c r="B3756" s="1" t="n">
        <v>45832.49579861111</v>
      </c>
      <c r="C3756" s="1" t="n">
        <v>45952</v>
      </c>
      <c r="D3756" t="inlineStr">
        <is>
          <t>ÖREBRO LÄN</t>
        </is>
      </c>
      <c r="E3756" t="inlineStr">
        <is>
          <t>LINDESBERG</t>
        </is>
      </c>
      <c r="F3756" t="inlineStr">
        <is>
          <t>Sveaskog</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31014-2025</t>
        </is>
      </c>
      <c r="B3757" s="1" t="n">
        <v>45832.51028935185</v>
      </c>
      <c r="C3757" s="1" t="n">
        <v>45952</v>
      </c>
      <c r="D3757" t="inlineStr">
        <is>
          <t>ÖREBRO LÄN</t>
        </is>
      </c>
      <c r="E3757" t="inlineStr">
        <is>
          <t>LINDESBERG</t>
        </is>
      </c>
      <c r="F3757" t="inlineStr">
        <is>
          <t>Sveaskog</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31066-2025</t>
        </is>
      </c>
      <c r="B3758" s="1" t="n">
        <v>45832</v>
      </c>
      <c r="C3758" s="1" t="n">
        <v>45952</v>
      </c>
      <c r="D3758" t="inlineStr">
        <is>
          <t>ÖREBRO LÄN</t>
        </is>
      </c>
      <c r="E3758" t="inlineStr">
        <is>
          <t>ÖREBRO</t>
        </is>
      </c>
      <c r="G3758" t="n">
        <v>11.1</v>
      </c>
      <c r="H3758" t="n">
        <v>0</v>
      </c>
      <c r="I3758" t="n">
        <v>0</v>
      </c>
      <c r="J3758" t="n">
        <v>0</v>
      </c>
      <c r="K3758" t="n">
        <v>0</v>
      </c>
      <c r="L3758" t="n">
        <v>0</v>
      </c>
      <c r="M3758" t="n">
        <v>0</v>
      </c>
      <c r="N3758" t="n">
        <v>0</v>
      </c>
      <c r="O3758" t="n">
        <v>0</v>
      </c>
      <c r="P3758" t="n">
        <v>0</v>
      </c>
      <c r="Q3758" t="n">
        <v>0</v>
      </c>
      <c r="R3758" s="2" t="inlineStr"/>
    </row>
    <row r="3759" ht="15" customHeight="1">
      <c r="A3759" t="inlineStr">
        <is>
          <t>A 38768-2022</t>
        </is>
      </c>
      <c r="B3759" s="1" t="n">
        <v>44816.38201388889</v>
      </c>
      <c r="C3759" s="1" t="n">
        <v>45952</v>
      </c>
      <c r="D3759" t="inlineStr">
        <is>
          <t>ÖREBRO LÄN</t>
        </is>
      </c>
      <c r="E3759" t="inlineStr">
        <is>
          <t>KUMLA</t>
        </is>
      </c>
      <c r="G3759" t="n">
        <v>3.3</v>
      </c>
      <c r="H3759" t="n">
        <v>0</v>
      </c>
      <c r="I3759" t="n">
        <v>0</v>
      </c>
      <c r="J3759" t="n">
        <v>0</v>
      </c>
      <c r="K3759" t="n">
        <v>0</v>
      </c>
      <c r="L3759" t="n">
        <v>0</v>
      </c>
      <c r="M3759" t="n">
        <v>0</v>
      </c>
      <c r="N3759" t="n">
        <v>0</v>
      </c>
      <c r="O3759" t="n">
        <v>0</v>
      </c>
      <c r="P3759" t="n">
        <v>0</v>
      </c>
      <c r="Q3759" t="n">
        <v>0</v>
      </c>
      <c r="R3759" s="2" t="inlineStr"/>
    </row>
    <row r="3760" ht="15" customHeight="1">
      <c r="A3760" t="inlineStr">
        <is>
          <t>A 38831-2022</t>
        </is>
      </c>
      <c r="B3760" s="1" t="n">
        <v>44814</v>
      </c>
      <c r="C3760" s="1" t="n">
        <v>45952</v>
      </c>
      <c r="D3760" t="inlineStr">
        <is>
          <t>ÖREBRO LÄN</t>
        </is>
      </c>
      <c r="E3760" t="inlineStr">
        <is>
          <t>HALLSBERG</t>
        </is>
      </c>
      <c r="G3760" t="n">
        <v>0.8</v>
      </c>
      <c r="H3760" t="n">
        <v>0</v>
      </c>
      <c r="I3760" t="n">
        <v>0</v>
      </c>
      <c r="J3760" t="n">
        <v>0</v>
      </c>
      <c r="K3760" t="n">
        <v>0</v>
      </c>
      <c r="L3760" t="n">
        <v>0</v>
      </c>
      <c r="M3760" t="n">
        <v>0</v>
      </c>
      <c r="N3760" t="n">
        <v>0</v>
      </c>
      <c r="O3760" t="n">
        <v>0</v>
      </c>
      <c r="P3760" t="n">
        <v>0</v>
      </c>
      <c r="Q3760" t="n">
        <v>0</v>
      </c>
      <c r="R3760" s="2" t="inlineStr"/>
    </row>
    <row r="3761" ht="15" customHeight="1">
      <c r="A3761" t="inlineStr">
        <is>
          <t>A 32145-2025</t>
        </is>
      </c>
      <c r="B3761" s="1" t="n">
        <v>45835.52680555556</v>
      </c>
      <c r="C3761" s="1" t="n">
        <v>45952</v>
      </c>
      <c r="D3761" t="inlineStr">
        <is>
          <t>ÖREBRO LÄN</t>
        </is>
      </c>
      <c r="E3761" t="inlineStr">
        <is>
          <t>ASKERSUND</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29131-2024</t>
        </is>
      </c>
      <c r="B3762" s="1" t="n">
        <v>45481</v>
      </c>
      <c r="C3762" s="1" t="n">
        <v>45952</v>
      </c>
      <c r="D3762" t="inlineStr">
        <is>
          <t>ÖREBRO LÄN</t>
        </is>
      </c>
      <c r="E3762" t="inlineStr">
        <is>
          <t>ASKERSUND</t>
        </is>
      </c>
      <c r="G3762" t="n">
        <v>3.5</v>
      </c>
      <c r="H3762" t="n">
        <v>0</v>
      </c>
      <c r="I3762" t="n">
        <v>0</v>
      </c>
      <c r="J3762" t="n">
        <v>0</v>
      </c>
      <c r="K3762" t="n">
        <v>0</v>
      </c>
      <c r="L3762" t="n">
        <v>0</v>
      </c>
      <c r="M3762" t="n">
        <v>0</v>
      </c>
      <c r="N3762" t="n">
        <v>0</v>
      </c>
      <c r="O3762" t="n">
        <v>0</v>
      </c>
      <c r="P3762" t="n">
        <v>0</v>
      </c>
      <c r="Q3762" t="n">
        <v>0</v>
      </c>
      <c r="R3762" s="2" t="inlineStr"/>
    </row>
    <row r="3763" ht="15" customHeight="1">
      <c r="A3763" t="inlineStr">
        <is>
          <t>A 32284-2025</t>
        </is>
      </c>
      <c r="B3763" s="1" t="n">
        <v>45835.68443287037</v>
      </c>
      <c r="C3763" s="1" t="n">
        <v>45952</v>
      </c>
      <c r="D3763" t="inlineStr">
        <is>
          <t>ÖREBRO LÄN</t>
        </is>
      </c>
      <c r="E3763" t="inlineStr">
        <is>
          <t>LINDESBERG</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32287-2025</t>
        </is>
      </c>
      <c r="B3764" s="1" t="n">
        <v>45835.6914699074</v>
      </c>
      <c r="C3764" s="1" t="n">
        <v>45952</v>
      </c>
      <c r="D3764" t="inlineStr">
        <is>
          <t>ÖREBRO LÄN</t>
        </is>
      </c>
      <c r="E3764" t="inlineStr">
        <is>
          <t>KARLSKOGA</t>
        </is>
      </c>
      <c r="F3764" t="inlineStr">
        <is>
          <t>Kyrkan</t>
        </is>
      </c>
      <c r="G3764" t="n">
        <v>10.9</v>
      </c>
      <c r="H3764" t="n">
        <v>0</v>
      </c>
      <c r="I3764" t="n">
        <v>0</v>
      </c>
      <c r="J3764" t="n">
        <v>0</v>
      </c>
      <c r="K3764" t="n">
        <v>0</v>
      </c>
      <c r="L3764" t="n">
        <v>0</v>
      </c>
      <c r="M3764" t="n">
        <v>0</v>
      </c>
      <c r="N3764" t="n">
        <v>0</v>
      </c>
      <c r="O3764" t="n">
        <v>0</v>
      </c>
      <c r="P3764" t="n">
        <v>0</v>
      </c>
      <c r="Q3764" t="n">
        <v>0</v>
      </c>
      <c r="R3764" s="2" t="inlineStr"/>
    </row>
    <row r="3765" ht="15" customHeight="1">
      <c r="A3765" t="inlineStr">
        <is>
          <t>A 32300-2025</t>
        </is>
      </c>
      <c r="B3765" s="1" t="n">
        <v>45835.71607638889</v>
      </c>
      <c r="C3765" s="1" t="n">
        <v>45952</v>
      </c>
      <c r="D3765" t="inlineStr">
        <is>
          <t>ÖREBRO LÄN</t>
        </is>
      </c>
      <c r="E3765" t="inlineStr">
        <is>
          <t>DEGERFORS</t>
        </is>
      </c>
      <c r="G3765" t="n">
        <v>3.1</v>
      </c>
      <c r="H3765" t="n">
        <v>0</v>
      </c>
      <c r="I3765" t="n">
        <v>0</v>
      </c>
      <c r="J3765" t="n">
        <v>0</v>
      </c>
      <c r="K3765" t="n">
        <v>0</v>
      </c>
      <c r="L3765" t="n">
        <v>0</v>
      </c>
      <c r="M3765" t="n">
        <v>0</v>
      </c>
      <c r="N3765" t="n">
        <v>0</v>
      </c>
      <c r="O3765" t="n">
        <v>0</v>
      </c>
      <c r="P3765" t="n">
        <v>0</v>
      </c>
      <c r="Q3765" t="n">
        <v>0</v>
      </c>
      <c r="R3765" s="2" t="inlineStr"/>
    </row>
    <row r="3766" ht="15" customHeight="1">
      <c r="A3766" t="inlineStr">
        <is>
          <t>A 32140-2025</t>
        </is>
      </c>
      <c r="B3766" s="1" t="n">
        <v>45835.52280092592</v>
      </c>
      <c r="C3766" s="1" t="n">
        <v>45952</v>
      </c>
      <c r="D3766" t="inlineStr">
        <is>
          <t>ÖREBRO LÄN</t>
        </is>
      </c>
      <c r="E3766" t="inlineStr">
        <is>
          <t>ASKERSUND</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32217-2025</t>
        </is>
      </c>
      <c r="B3767" s="1" t="n">
        <v>45835.58846064815</v>
      </c>
      <c r="C3767" s="1" t="n">
        <v>45952</v>
      </c>
      <c r="D3767" t="inlineStr">
        <is>
          <t>ÖREBRO LÄN</t>
        </is>
      </c>
      <c r="E3767" t="inlineStr">
        <is>
          <t>HÄLLEFORS</t>
        </is>
      </c>
      <c r="F3767" t="inlineStr">
        <is>
          <t>Bergvik skog väst AB</t>
        </is>
      </c>
      <c r="G3767" t="n">
        <v>4.4</v>
      </c>
      <c r="H3767" t="n">
        <v>0</v>
      </c>
      <c r="I3767" t="n">
        <v>0</v>
      </c>
      <c r="J3767" t="n">
        <v>0</v>
      </c>
      <c r="K3767" t="n">
        <v>0</v>
      </c>
      <c r="L3767" t="n">
        <v>0</v>
      </c>
      <c r="M3767" t="n">
        <v>0</v>
      </c>
      <c r="N3767" t="n">
        <v>0</v>
      </c>
      <c r="O3767" t="n">
        <v>0</v>
      </c>
      <c r="P3767" t="n">
        <v>0</v>
      </c>
      <c r="Q3767" t="n">
        <v>0</v>
      </c>
      <c r="R3767" s="2" t="inlineStr"/>
    </row>
    <row r="3768" ht="15" customHeight="1">
      <c r="A3768" t="inlineStr">
        <is>
          <t>A 7119-2025</t>
        </is>
      </c>
      <c r="B3768" s="1" t="n">
        <v>45702</v>
      </c>
      <c r="C3768" s="1" t="n">
        <v>45952</v>
      </c>
      <c r="D3768" t="inlineStr">
        <is>
          <t>ÖREBRO LÄN</t>
        </is>
      </c>
      <c r="E3768" t="inlineStr">
        <is>
          <t>LINDESBERG</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45060-2024</t>
        </is>
      </c>
      <c r="B3769" s="1" t="n">
        <v>45575.55570601852</v>
      </c>
      <c r="C3769" s="1" t="n">
        <v>45952</v>
      </c>
      <c r="D3769" t="inlineStr">
        <is>
          <t>ÖREBRO LÄN</t>
        </is>
      </c>
      <c r="E3769" t="inlineStr">
        <is>
          <t>LINDESBERG</t>
        </is>
      </c>
      <c r="F3769" t="inlineStr">
        <is>
          <t>Sveaskog</t>
        </is>
      </c>
      <c r="G3769" t="n">
        <v>4.6</v>
      </c>
      <c r="H3769" t="n">
        <v>0</v>
      </c>
      <c r="I3769" t="n">
        <v>0</v>
      </c>
      <c r="J3769" t="n">
        <v>0</v>
      </c>
      <c r="K3769" t="n">
        <v>0</v>
      </c>
      <c r="L3769" t="n">
        <v>0</v>
      </c>
      <c r="M3769" t="n">
        <v>0</v>
      </c>
      <c r="N3769" t="n">
        <v>0</v>
      </c>
      <c r="O3769" t="n">
        <v>0</v>
      </c>
      <c r="P3769" t="n">
        <v>0</v>
      </c>
      <c r="Q3769" t="n">
        <v>0</v>
      </c>
      <c r="R3769" s="2" t="inlineStr"/>
    </row>
    <row r="3770" ht="15" customHeight="1">
      <c r="A3770" t="inlineStr">
        <is>
          <t>A 31664-2025</t>
        </is>
      </c>
      <c r="B3770" s="1" t="n">
        <v>45834.36265046296</v>
      </c>
      <c r="C3770" s="1" t="n">
        <v>45952</v>
      </c>
      <c r="D3770" t="inlineStr">
        <is>
          <t>ÖREBRO LÄN</t>
        </is>
      </c>
      <c r="E3770" t="inlineStr">
        <is>
          <t>ASKERSUND</t>
        </is>
      </c>
      <c r="G3770" t="n">
        <v>1.8</v>
      </c>
      <c r="H3770" t="n">
        <v>0</v>
      </c>
      <c r="I3770" t="n">
        <v>0</v>
      </c>
      <c r="J3770" t="n">
        <v>0</v>
      </c>
      <c r="K3770" t="n">
        <v>0</v>
      </c>
      <c r="L3770" t="n">
        <v>0</v>
      </c>
      <c r="M3770" t="n">
        <v>0</v>
      </c>
      <c r="N3770" t="n">
        <v>0</v>
      </c>
      <c r="O3770" t="n">
        <v>0</v>
      </c>
      <c r="P3770" t="n">
        <v>0</v>
      </c>
      <c r="Q3770" t="n">
        <v>0</v>
      </c>
      <c r="R3770" s="2" t="inlineStr"/>
    </row>
    <row r="3771" ht="15" customHeight="1">
      <c r="A3771" t="inlineStr">
        <is>
          <t>A 32188-2025</t>
        </is>
      </c>
      <c r="B3771" s="1" t="n">
        <v>45835.56965277778</v>
      </c>
      <c r="C3771" s="1" t="n">
        <v>45952</v>
      </c>
      <c r="D3771" t="inlineStr">
        <is>
          <t>ÖREBRO LÄN</t>
        </is>
      </c>
      <c r="E3771" t="inlineStr">
        <is>
          <t>ÖREBRO</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32195-2025</t>
        </is>
      </c>
      <c r="B3772" s="1" t="n">
        <v>45835.57407407407</v>
      </c>
      <c r="C3772" s="1" t="n">
        <v>45952</v>
      </c>
      <c r="D3772" t="inlineStr">
        <is>
          <t>ÖREBRO LÄN</t>
        </is>
      </c>
      <c r="E3772" t="inlineStr">
        <is>
          <t>ÖREBRO</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38552-2024</t>
        </is>
      </c>
      <c r="B3773" s="1" t="n">
        <v>45546.6125925926</v>
      </c>
      <c r="C3773" s="1" t="n">
        <v>45952</v>
      </c>
      <c r="D3773" t="inlineStr">
        <is>
          <t>ÖREBRO LÄN</t>
        </is>
      </c>
      <c r="E3773" t="inlineStr">
        <is>
          <t>LAXÅ</t>
        </is>
      </c>
      <c r="F3773" t="inlineStr">
        <is>
          <t>Sveaskog</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12099-2023</t>
        </is>
      </c>
      <c r="B3774" s="1" t="n">
        <v>44998.37043981482</v>
      </c>
      <c r="C3774" s="1" t="n">
        <v>45952</v>
      </c>
      <c r="D3774" t="inlineStr">
        <is>
          <t>ÖREBRO LÄN</t>
        </is>
      </c>
      <c r="E3774" t="inlineStr">
        <is>
          <t>ÖREBRO</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18555-2025</t>
        </is>
      </c>
      <c r="B3775" s="1" t="n">
        <v>45763</v>
      </c>
      <c r="C3775" s="1" t="n">
        <v>45952</v>
      </c>
      <c r="D3775" t="inlineStr">
        <is>
          <t>ÖREBRO LÄN</t>
        </is>
      </c>
      <c r="E3775" t="inlineStr">
        <is>
          <t>HÄLLEFORS</t>
        </is>
      </c>
      <c r="F3775" t="inlineStr">
        <is>
          <t>Bergvik skog väst AB</t>
        </is>
      </c>
      <c r="G3775" t="n">
        <v>4.5</v>
      </c>
      <c r="H3775" t="n">
        <v>0</v>
      </c>
      <c r="I3775" t="n">
        <v>0</v>
      </c>
      <c r="J3775" t="n">
        <v>0</v>
      </c>
      <c r="K3775" t="n">
        <v>0</v>
      </c>
      <c r="L3775" t="n">
        <v>0</v>
      </c>
      <c r="M3775" t="n">
        <v>0</v>
      </c>
      <c r="N3775" t="n">
        <v>0</v>
      </c>
      <c r="O3775" t="n">
        <v>0</v>
      </c>
      <c r="P3775" t="n">
        <v>0</v>
      </c>
      <c r="Q3775" t="n">
        <v>0</v>
      </c>
      <c r="R3775" s="2" t="inlineStr"/>
    </row>
    <row r="3776" ht="15" customHeight="1">
      <c r="A3776" t="inlineStr">
        <is>
          <t>A 32126-2025</t>
        </is>
      </c>
      <c r="B3776" s="1" t="n">
        <v>45835</v>
      </c>
      <c r="C3776" s="1" t="n">
        <v>45952</v>
      </c>
      <c r="D3776" t="inlineStr">
        <is>
          <t>ÖREBRO LÄN</t>
        </is>
      </c>
      <c r="E3776" t="inlineStr">
        <is>
          <t>ASKERSUND</t>
        </is>
      </c>
      <c r="G3776" t="n">
        <v>3</v>
      </c>
      <c r="H3776" t="n">
        <v>0</v>
      </c>
      <c r="I3776" t="n">
        <v>0</v>
      </c>
      <c r="J3776" t="n">
        <v>0</v>
      </c>
      <c r="K3776" t="n">
        <v>0</v>
      </c>
      <c r="L3776" t="n">
        <v>0</v>
      </c>
      <c r="M3776" t="n">
        <v>0</v>
      </c>
      <c r="N3776" t="n">
        <v>0</v>
      </c>
      <c r="O3776" t="n">
        <v>0</v>
      </c>
      <c r="P3776" t="n">
        <v>0</v>
      </c>
      <c r="Q3776" t="n">
        <v>0</v>
      </c>
      <c r="R3776" s="2" t="inlineStr"/>
    </row>
    <row r="3777" ht="15" customHeight="1">
      <c r="A3777" t="inlineStr">
        <is>
          <t>A 16085-2022</t>
        </is>
      </c>
      <c r="B3777" s="1" t="n">
        <v>44665</v>
      </c>
      <c r="C3777" s="1" t="n">
        <v>45952</v>
      </c>
      <c r="D3777" t="inlineStr">
        <is>
          <t>ÖREBRO LÄN</t>
        </is>
      </c>
      <c r="E3777" t="inlineStr">
        <is>
          <t>HALLSBERG</t>
        </is>
      </c>
      <c r="G3777" t="n">
        <v>5.1</v>
      </c>
      <c r="H3777" t="n">
        <v>0</v>
      </c>
      <c r="I3777" t="n">
        <v>0</v>
      </c>
      <c r="J3777" t="n">
        <v>0</v>
      </c>
      <c r="K3777" t="n">
        <v>0</v>
      </c>
      <c r="L3777" t="n">
        <v>0</v>
      </c>
      <c r="M3777" t="n">
        <v>0</v>
      </c>
      <c r="N3777" t="n">
        <v>0</v>
      </c>
      <c r="O3777" t="n">
        <v>0</v>
      </c>
      <c r="P3777" t="n">
        <v>0</v>
      </c>
      <c r="Q3777" t="n">
        <v>0</v>
      </c>
      <c r="R3777" s="2" t="inlineStr"/>
    </row>
    <row r="3778" ht="15" customHeight="1">
      <c r="A3778" t="inlineStr">
        <is>
          <t>A 32218-2025</t>
        </is>
      </c>
      <c r="B3778" s="1" t="n">
        <v>45835.58880787037</v>
      </c>
      <c r="C3778" s="1" t="n">
        <v>45952</v>
      </c>
      <c r="D3778" t="inlineStr">
        <is>
          <t>ÖREBRO LÄN</t>
        </is>
      </c>
      <c r="E3778" t="inlineStr">
        <is>
          <t>ÖREBRO</t>
        </is>
      </c>
      <c r="G3778" t="n">
        <v>0.7</v>
      </c>
      <c r="H3778" t="n">
        <v>0</v>
      </c>
      <c r="I3778" t="n">
        <v>0</v>
      </c>
      <c r="J3778" t="n">
        <v>0</v>
      </c>
      <c r="K3778" t="n">
        <v>0</v>
      </c>
      <c r="L3778" t="n">
        <v>0</v>
      </c>
      <c r="M3778" t="n">
        <v>0</v>
      </c>
      <c r="N3778" t="n">
        <v>0</v>
      </c>
      <c r="O3778" t="n">
        <v>0</v>
      </c>
      <c r="P3778" t="n">
        <v>0</v>
      </c>
      <c r="Q3778" t="n">
        <v>0</v>
      </c>
      <c r="R3778" s="2" t="inlineStr"/>
    </row>
    <row r="3779" ht="15" customHeight="1">
      <c r="A3779" t="inlineStr">
        <is>
          <t>A 16914-2022</t>
        </is>
      </c>
      <c r="B3779" s="1" t="n">
        <v>44676.43390046297</v>
      </c>
      <c r="C3779" s="1" t="n">
        <v>45952</v>
      </c>
      <c r="D3779" t="inlineStr">
        <is>
          <t>ÖREBRO LÄN</t>
        </is>
      </c>
      <c r="E3779" t="inlineStr">
        <is>
          <t>LEKEBERG</t>
        </is>
      </c>
      <c r="G3779" t="n">
        <v>2.6</v>
      </c>
      <c r="H3779" t="n">
        <v>0</v>
      </c>
      <c r="I3779" t="n">
        <v>0</v>
      </c>
      <c r="J3779" t="n">
        <v>0</v>
      </c>
      <c r="K3779" t="n">
        <v>0</v>
      </c>
      <c r="L3779" t="n">
        <v>0</v>
      </c>
      <c r="M3779" t="n">
        <v>0</v>
      </c>
      <c r="N3779" t="n">
        <v>0</v>
      </c>
      <c r="O3779" t="n">
        <v>0</v>
      </c>
      <c r="P3779" t="n">
        <v>0</v>
      </c>
      <c r="Q3779" t="n">
        <v>0</v>
      </c>
      <c r="R3779" s="2" t="inlineStr"/>
    </row>
    <row r="3780" ht="15" customHeight="1">
      <c r="A3780" t="inlineStr">
        <is>
          <t>A 50599-2023</t>
        </is>
      </c>
      <c r="B3780" s="1" t="n">
        <v>45217.42408564815</v>
      </c>
      <c r="C3780" s="1" t="n">
        <v>45952</v>
      </c>
      <c r="D3780" t="inlineStr">
        <is>
          <t>ÖREBRO LÄN</t>
        </is>
      </c>
      <c r="E3780" t="inlineStr">
        <is>
          <t>ASKERSUND</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32606-2025</t>
        </is>
      </c>
      <c r="B3781" s="1" t="n">
        <v>45838.63046296296</v>
      </c>
      <c r="C3781" s="1" t="n">
        <v>45952</v>
      </c>
      <c r="D3781" t="inlineStr">
        <is>
          <t>ÖREBRO LÄN</t>
        </is>
      </c>
      <c r="E3781" t="inlineStr">
        <is>
          <t>HALLSBERG</t>
        </is>
      </c>
      <c r="G3781" t="n">
        <v>2.2</v>
      </c>
      <c r="H3781" t="n">
        <v>0</v>
      </c>
      <c r="I3781" t="n">
        <v>0</v>
      </c>
      <c r="J3781" t="n">
        <v>0</v>
      </c>
      <c r="K3781" t="n">
        <v>0</v>
      </c>
      <c r="L3781" t="n">
        <v>0</v>
      </c>
      <c r="M3781" t="n">
        <v>0</v>
      </c>
      <c r="N3781" t="n">
        <v>0</v>
      </c>
      <c r="O3781" t="n">
        <v>0</v>
      </c>
      <c r="P3781" t="n">
        <v>0</v>
      </c>
      <c r="Q3781" t="n">
        <v>0</v>
      </c>
      <c r="R3781" s="2" t="inlineStr"/>
    </row>
    <row r="3782" ht="15" customHeight="1">
      <c r="A3782" t="inlineStr">
        <is>
          <t>A 17869-2024</t>
        </is>
      </c>
      <c r="B3782" s="1" t="n">
        <v>45419</v>
      </c>
      <c r="C3782" s="1" t="n">
        <v>45952</v>
      </c>
      <c r="D3782" t="inlineStr">
        <is>
          <t>ÖREBRO LÄN</t>
        </is>
      </c>
      <c r="E3782" t="inlineStr">
        <is>
          <t>ÖREBRO</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50972-2023</t>
        </is>
      </c>
      <c r="B3783" s="1" t="n">
        <v>45218</v>
      </c>
      <c r="C3783" s="1" t="n">
        <v>45952</v>
      </c>
      <c r="D3783" t="inlineStr">
        <is>
          <t>ÖREBRO LÄN</t>
        </is>
      </c>
      <c r="E3783" t="inlineStr">
        <is>
          <t>LINDESBERG</t>
        </is>
      </c>
      <c r="F3783" t="inlineStr">
        <is>
          <t>Sveaskog</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5026-2022</t>
        </is>
      </c>
      <c r="B3784" s="1" t="n">
        <v>44593.63974537037</v>
      </c>
      <c r="C3784" s="1" t="n">
        <v>45952</v>
      </c>
      <c r="D3784" t="inlineStr">
        <is>
          <t>ÖREBRO LÄN</t>
        </is>
      </c>
      <c r="E3784" t="inlineStr">
        <is>
          <t>ÖREBRO</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32642-2025</t>
        </is>
      </c>
      <c r="B3785" s="1" t="n">
        <v>45838.66005787037</v>
      </c>
      <c r="C3785" s="1" t="n">
        <v>45952</v>
      </c>
      <c r="D3785" t="inlineStr">
        <is>
          <t>ÖREBRO LÄN</t>
        </is>
      </c>
      <c r="E3785" t="inlineStr">
        <is>
          <t>HALLSBERG</t>
        </is>
      </c>
      <c r="G3785" t="n">
        <v>9.199999999999999</v>
      </c>
      <c r="H3785" t="n">
        <v>0</v>
      </c>
      <c r="I3785" t="n">
        <v>0</v>
      </c>
      <c r="J3785" t="n">
        <v>0</v>
      </c>
      <c r="K3785" t="n">
        <v>0</v>
      </c>
      <c r="L3785" t="n">
        <v>0</v>
      </c>
      <c r="M3785" t="n">
        <v>0</v>
      </c>
      <c r="N3785" t="n">
        <v>0</v>
      </c>
      <c r="O3785" t="n">
        <v>0</v>
      </c>
      <c r="P3785" t="n">
        <v>0</v>
      </c>
      <c r="Q3785" t="n">
        <v>0</v>
      </c>
      <c r="R3785" s="2" t="inlineStr"/>
    </row>
    <row r="3786" ht="15" customHeight="1">
      <c r="A3786" t="inlineStr">
        <is>
          <t>A 32904-2025</t>
        </is>
      </c>
      <c r="B3786" s="1" t="n">
        <v>45839</v>
      </c>
      <c r="C3786" s="1" t="n">
        <v>45952</v>
      </c>
      <c r="D3786" t="inlineStr">
        <is>
          <t>ÖREBRO LÄN</t>
        </is>
      </c>
      <c r="E3786" t="inlineStr">
        <is>
          <t>ÖREBRO</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16881-2023</t>
        </is>
      </c>
      <c r="B3787" s="1" t="n">
        <v>45033</v>
      </c>
      <c r="C3787" s="1" t="n">
        <v>45952</v>
      </c>
      <c r="D3787" t="inlineStr">
        <is>
          <t>ÖREBRO LÄN</t>
        </is>
      </c>
      <c r="E3787" t="inlineStr">
        <is>
          <t>KARLSKOGA</t>
        </is>
      </c>
      <c r="F3787" t="inlineStr">
        <is>
          <t>Kyrkan</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10832-2023</t>
        </is>
      </c>
      <c r="B3788" s="1" t="n">
        <v>44990.91711805556</v>
      </c>
      <c r="C3788" s="1" t="n">
        <v>45952</v>
      </c>
      <c r="D3788" t="inlineStr">
        <is>
          <t>ÖREBRO LÄN</t>
        </is>
      </c>
      <c r="E3788" t="inlineStr">
        <is>
          <t>ÖREBRO</t>
        </is>
      </c>
      <c r="G3788" t="n">
        <v>1.4</v>
      </c>
      <c r="H3788" t="n">
        <v>0</v>
      </c>
      <c r="I3788" t="n">
        <v>0</v>
      </c>
      <c r="J3788" t="n">
        <v>0</v>
      </c>
      <c r="K3788" t="n">
        <v>0</v>
      </c>
      <c r="L3788" t="n">
        <v>0</v>
      </c>
      <c r="M3788" t="n">
        <v>0</v>
      </c>
      <c r="N3788" t="n">
        <v>0</v>
      </c>
      <c r="O3788" t="n">
        <v>0</v>
      </c>
      <c r="P3788" t="n">
        <v>0</v>
      </c>
      <c r="Q3788" t="n">
        <v>0</v>
      </c>
      <c r="R3788" s="2" t="inlineStr"/>
    </row>
    <row r="3789" ht="15" customHeight="1">
      <c r="A3789" t="inlineStr">
        <is>
          <t>A 26278-2021</t>
        </is>
      </c>
      <c r="B3789" s="1" t="n">
        <v>44347</v>
      </c>
      <c r="C3789" s="1" t="n">
        <v>45952</v>
      </c>
      <c r="D3789" t="inlineStr">
        <is>
          <t>ÖREBRO LÄN</t>
        </is>
      </c>
      <c r="E3789" t="inlineStr">
        <is>
          <t>NORA</t>
        </is>
      </c>
      <c r="F3789" t="inlineStr">
        <is>
          <t>Naturvårdsverket</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10617-2022</t>
        </is>
      </c>
      <c r="B3790" s="1" t="n">
        <v>44624</v>
      </c>
      <c r="C3790" s="1" t="n">
        <v>45952</v>
      </c>
      <c r="D3790" t="inlineStr">
        <is>
          <t>ÖREBRO LÄN</t>
        </is>
      </c>
      <c r="E3790" t="inlineStr">
        <is>
          <t>LEKEBERG</t>
        </is>
      </c>
      <c r="G3790" t="n">
        <v>7.9</v>
      </c>
      <c r="H3790" t="n">
        <v>0</v>
      </c>
      <c r="I3790" t="n">
        <v>0</v>
      </c>
      <c r="J3790" t="n">
        <v>0</v>
      </c>
      <c r="K3790" t="n">
        <v>0</v>
      </c>
      <c r="L3790" t="n">
        <v>0</v>
      </c>
      <c r="M3790" t="n">
        <v>0</v>
      </c>
      <c r="N3790" t="n">
        <v>0</v>
      </c>
      <c r="O3790" t="n">
        <v>0</v>
      </c>
      <c r="P3790" t="n">
        <v>0</v>
      </c>
      <c r="Q3790" t="n">
        <v>0</v>
      </c>
      <c r="R3790" s="2" t="inlineStr"/>
    </row>
    <row r="3791" ht="15" customHeight="1">
      <c r="A3791" t="inlineStr">
        <is>
          <t>A 52367-2022</t>
        </is>
      </c>
      <c r="B3791" s="1" t="n">
        <v>44874</v>
      </c>
      <c r="C3791" s="1" t="n">
        <v>45952</v>
      </c>
      <c r="D3791" t="inlineStr">
        <is>
          <t>ÖREBRO LÄN</t>
        </is>
      </c>
      <c r="E3791" t="inlineStr">
        <is>
          <t>HÄLLEFORS</t>
        </is>
      </c>
      <c r="F3791" t="inlineStr">
        <is>
          <t>Bergvik skog väst AB</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32870-2025</t>
        </is>
      </c>
      <c r="B3792" s="1" t="n">
        <v>45839.58939814815</v>
      </c>
      <c r="C3792" s="1" t="n">
        <v>45952</v>
      </c>
      <c r="D3792" t="inlineStr">
        <is>
          <t>ÖREBRO LÄN</t>
        </is>
      </c>
      <c r="E3792" t="inlineStr">
        <is>
          <t>KARLSKOGA</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32808-2025</t>
        </is>
      </c>
      <c r="B3793" s="1" t="n">
        <v>45839.50719907408</v>
      </c>
      <c r="C3793" s="1" t="n">
        <v>45952</v>
      </c>
      <c r="D3793" t="inlineStr">
        <is>
          <t>ÖREBRO LÄN</t>
        </is>
      </c>
      <c r="E3793" t="inlineStr">
        <is>
          <t>HÄLLEFORS</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32501-2025</t>
        </is>
      </c>
      <c r="B3794" s="1" t="n">
        <v>45838.46260416666</v>
      </c>
      <c r="C3794" s="1" t="n">
        <v>45952</v>
      </c>
      <c r="D3794" t="inlineStr">
        <is>
          <t>ÖREBRO LÄN</t>
        </is>
      </c>
      <c r="E3794" t="inlineStr">
        <is>
          <t>NORA</t>
        </is>
      </c>
      <c r="F3794" t="inlineStr">
        <is>
          <t>Sveaskog</t>
        </is>
      </c>
      <c r="G3794" t="n">
        <v>0.7</v>
      </c>
      <c r="H3794" t="n">
        <v>0</v>
      </c>
      <c r="I3794" t="n">
        <v>0</v>
      </c>
      <c r="J3794" t="n">
        <v>0</v>
      </c>
      <c r="K3794" t="n">
        <v>0</v>
      </c>
      <c r="L3794" t="n">
        <v>0</v>
      </c>
      <c r="M3794" t="n">
        <v>0</v>
      </c>
      <c r="N3794" t="n">
        <v>0</v>
      </c>
      <c r="O3794" t="n">
        <v>0</v>
      </c>
      <c r="P3794" t="n">
        <v>0</v>
      </c>
      <c r="Q3794" t="n">
        <v>0</v>
      </c>
      <c r="R3794" s="2" t="inlineStr"/>
    </row>
    <row r="3795" ht="15" customHeight="1">
      <c r="A3795" t="inlineStr">
        <is>
          <t>A 32813-2025</t>
        </is>
      </c>
      <c r="B3795" s="1" t="n">
        <v>45839.51949074074</v>
      </c>
      <c r="C3795" s="1" t="n">
        <v>45952</v>
      </c>
      <c r="D3795" t="inlineStr">
        <is>
          <t>ÖREBRO LÄN</t>
        </is>
      </c>
      <c r="E3795" t="inlineStr">
        <is>
          <t>HÄLLEFORS</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50225-2021</t>
        </is>
      </c>
      <c r="B3796" s="1" t="n">
        <v>44457</v>
      </c>
      <c r="C3796" s="1" t="n">
        <v>45952</v>
      </c>
      <c r="D3796" t="inlineStr">
        <is>
          <t>ÖREBRO LÄN</t>
        </is>
      </c>
      <c r="E3796" t="inlineStr">
        <is>
          <t>LINDESBERG</t>
        </is>
      </c>
      <c r="G3796" t="n">
        <v>2.5</v>
      </c>
      <c r="H3796" t="n">
        <v>0</v>
      </c>
      <c r="I3796" t="n">
        <v>0</v>
      </c>
      <c r="J3796" t="n">
        <v>0</v>
      </c>
      <c r="K3796" t="n">
        <v>0</v>
      </c>
      <c r="L3796" t="n">
        <v>0</v>
      </c>
      <c r="M3796" t="n">
        <v>0</v>
      </c>
      <c r="N3796" t="n">
        <v>0</v>
      </c>
      <c r="O3796" t="n">
        <v>0</v>
      </c>
      <c r="P3796" t="n">
        <v>0</v>
      </c>
      <c r="Q3796" t="n">
        <v>0</v>
      </c>
      <c r="R3796" s="2" t="inlineStr"/>
    </row>
    <row r="3797" ht="15" customHeight="1">
      <c r="A3797" t="inlineStr">
        <is>
          <t>A 32426-2025</t>
        </is>
      </c>
      <c r="B3797" s="1" t="n">
        <v>45838.36179398148</v>
      </c>
      <c r="C3797" s="1" t="n">
        <v>45952</v>
      </c>
      <c r="D3797" t="inlineStr">
        <is>
          <t>ÖREBRO LÄN</t>
        </is>
      </c>
      <c r="E3797" t="inlineStr">
        <is>
          <t>ÖREBRO</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7371-2022</t>
        </is>
      </c>
      <c r="B3798" s="1" t="n">
        <v>44606.59517361111</v>
      </c>
      <c r="C3798" s="1" t="n">
        <v>45952</v>
      </c>
      <c r="D3798" t="inlineStr">
        <is>
          <t>ÖREBRO LÄN</t>
        </is>
      </c>
      <c r="E3798" t="inlineStr">
        <is>
          <t>ASKERSUND</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32717-2025</t>
        </is>
      </c>
      <c r="B3799" s="1" t="n">
        <v>45839.37686342592</v>
      </c>
      <c r="C3799" s="1" t="n">
        <v>45952</v>
      </c>
      <c r="D3799" t="inlineStr">
        <is>
          <t>ÖREBRO LÄN</t>
        </is>
      </c>
      <c r="E3799" t="inlineStr">
        <is>
          <t>DEGERFORS</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32880-2025</t>
        </is>
      </c>
      <c r="B3800" s="1" t="n">
        <v>45839.59601851852</v>
      </c>
      <c r="C3800" s="1" t="n">
        <v>45952</v>
      </c>
      <c r="D3800" t="inlineStr">
        <is>
          <t>ÖREBRO LÄN</t>
        </is>
      </c>
      <c r="E3800" t="inlineStr">
        <is>
          <t>LJUSNARSBERG</t>
        </is>
      </c>
      <c r="F3800" t="inlineStr">
        <is>
          <t>Kommuner</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17995-2021</t>
        </is>
      </c>
      <c r="B3801" s="1" t="n">
        <v>44301</v>
      </c>
      <c r="C3801" s="1" t="n">
        <v>45952</v>
      </c>
      <c r="D3801" t="inlineStr">
        <is>
          <t>ÖREBRO LÄN</t>
        </is>
      </c>
      <c r="E3801" t="inlineStr">
        <is>
          <t>LINDESBERG</t>
        </is>
      </c>
      <c r="F3801" t="inlineStr">
        <is>
          <t>Sveaskog</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19033-2021</t>
        </is>
      </c>
      <c r="B3802" s="1" t="n">
        <v>44308</v>
      </c>
      <c r="C3802" s="1" t="n">
        <v>45952</v>
      </c>
      <c r="D3802" t="inlineStr">
        <is>
          <t>ÖREBRO LÄN</t>
        </is>
      </c>
      <c r="E3802" t="inlineStr">
        <is>
          <t>HÄLLEFORS</t>
        </is>
      </c>
      <c r="G3802" t="n">
        <v>7.8</v>
      </c>
      <c r="H3802" t="n">
        <v>0</v>
      </c>
      <c r="I3802" t="n">
        <v>0</v>
      </c>
      <c r="J3802" t="n">
        <v>0</v>
      </c>
      <c r="K3802" t="n">
        <v>0</v>
      </c>
      <c r="L3802" t="n">
        <v>0</v>
      </c>
      <c r="M3802" t="n">
        <v>0</v>
      </c>
      <c r="N3802" t="n">
        <v>0</v>
      </c>
      <c r="O3802" t="n">
        <v>0</v>
      </c>
      <c r="P3802" t="n">
        <v>0</v>
      </c>
      <c r="Q3802" t="n">
        <v>0</v>
      </c>
      <c r="R3802" s="2" t="inlineStr"/>
    </row>
    <row r="3803" ht="15" customHeight="1">
      <c r="A3803" t="inlineStr">
        <is>
          <t>A 48244-2024</t>
        </is>
      </c>
      <c r="B3803" s="1" t="n">
        <v>45590.39471064815</v>
      </c>
      <c r="C3803" s="1" t="n">
        <v>45952</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32504-2025</t>
        </is>
      </c>
      <c r="B3804" s="1" t="n">
        <v>45838.46456018519</v>
      </c>
      <c r="C3804" s="1" t="n">
        <v>45952</v>
      </c>
      <c r="D3804" t="inlineStr">
        <is>
          <t>ÖREBRO LÄN</t>
        </is>
      </c>
      <c r="E3804" t="inlineStr">
        <is>
          <t>LINDESBERG</t>
        </is>
      </c>
      <c r="F3804" t="inlineStr">
        <is>
          <t>Sveaskog</t>
        </is>
      </c>
      <c r="G3804" t="n">
        <v>16.9</v>
      </c>
      <c r="H3804" t="n">
        <v>0</v>
      </c>
      <c r="I3804" t="n">
        <v>0</v>
      </c>
      <c r="J3804" t="n">
        <v>0</v>
      </c>
      <c r="K3804" t="n">
        <v>0</v>
      </c>
      <c r="L3804" t="n">
        <v>0</v>
      </c>
      <c r="M3804" t="n">
        <v>0</v>
      </c>
      <c r="N3804" t="n">
        <v>0</v>
      </c>
      <c r="O3804" t="n">
        <v>0</v>
      </c>
      <c r="P3804" t="n">
        <v>0</v>
      </c>
      <c r="Q3804" t="n">
        <v>0</v>
      </c>
      <c r="R3804" s="2" t="inlineStr"/>
    </row>
    <row r="3805" ht="15" customHeight="1">
      <c r="A3805" t="inlineStr">
        <is>
          <t>A 13046-2024</t>
        </is>
      </c>
      <c r="B3805" s="1" t="n">
        <v>45385</v>
      </c>
      <c r="C3805" s="1" t="n">
        <v>45952</v>
      </c>
      <c r="D3805" t="inlineStr">
        <is>
          <t>ÖREBRO LÄN</t>
        </is>
      </c>
      <c r="E3805" t="inlineStr">
        <is>
          <t>ASKERSUND</t>
        </is>
      </c>
      <c r="F3805" t="inlineStr">
        <is>
          <t>Sveaskog</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32502-2025</t>
        </is>
      </c>
      <c r="B3806" s="1" t="n">
        <v>45838.46408564815</v>
      </c>
      <c r="C3806" s="1" t="n">
        <v>45952</v>
      </c>
      <c r="D3806" t="inlineStr">
        <is>
          <t>ÖREBRO LÄN</t>
        </is>
      </c>
      <c r="E3806" t="inlineStr">
        <is>
          <t>LINDESBERG</t>
        </is>
      </c>
      <c r="F3806" t="inlineStr">
        <is>
          <t>Sveaskog</t>
        </is>
      </c>
      <c r="G3806" t="n">
        <v>17.7</v>
      </c>
      <c r="H3806" t="n">
        <v>0</v>
      </c>
      <c r="I3806" t="n">
        <v>0</v>
      </c>
      <c r="J3806" t="n">
        <v>0</v>
      </c>
      <c r="K3806" t="n">
        <v>0</v>
      </c>
      <c r="L3806" t="n">
        <v>0</v>
      </c>
      <c r="M3806" t="n">
        <v>0</v>
      </c>
      <c r="N3806" t="n">
        <v>0</v>
      </c>
      <c r="O3806" t="n">
        <v>0</v>
      </c>
      <c r="P3806" t="n">
        <v>0</v>
      </c>
      <c r="Q3806" t="n">
        <v>0</v>
      </c>
      <c r="R3806" s="2" t="inlineStr"/>
    </row>
    <row r="3807" ht="15" customHeight="1">
      <c r="A3807" t="inlineStr">
        <is>
          <t>A 33561-2025</t>
        </is>
      </c>
      <c r="B3807" s="1" t="n">
        <v>45841.57755787037</v>
      </c>
      <c r="C3807" s="1" t="n">
        <v>45952</v>
      </c>
      <c r="D3807" t="inlineStr">
        <is>
          <t>ÖREBRO LÄN</t>
        </is>
      </c>
      <c r="E3807" t="inlineStr">
        <is>
          <t>LAXÅ</t>
        </is>
      </c>
      <c r="F3807" t="inlineStr">
        <is>
          <t>Övriga statliga verk och myndigheter</t>
        </is>
      </c>
      <c r="G3807" t="n">
        <v>4</v>
      </c>
      <c r="H3807" t="n">
        <v>0</v>
      </c>
      <c r="I3807" t="n">
        <v>0</v>
      </c>
      <c r="J3807" t="n">
        <v>0</v>
      </c>
      <c r="K3807" t="n">
        <v>0</v>
      </c>
      <c r="L3807" t="n">
        <v>0</v>
      </c>
      <c r="M3807" t="n">
        <v>0</v>
      </c>
      <c r="N3807" t="n">
        <v>0</v>
      </c>
      <c r="O3807" t="n">
        <v>0</v>
      </c>
      <c r="P3807" t="n">
        <v>0</v>
      </c>
      <c r="Q3807" t="n">
        <v>0</v>
      </c>
      <c r="R3807" s="2" t="inlineStr"/>
    </row>
    <row r="3808" ht="15" customHeight="1">
      <c r="A3808" t="inlineStr">
        <is>
          <t>A 56386-2024</t>
        </is>
      </c>
      <c r="B3808" s="1" t="n">
        <v>45625.34328703704</v>
      </c>
      <c r="C3808" s="1" t="n">
        <v>45952</v>
      </c>
      <c r="D3808" t="inlineStr">
        <is>
          <t>ÖREBRO LÄN</t>
        </is>
      </c>
      <c r="E3808" t="inlineStr">
        <is>
          <t>ASKERSUND</t>
        </is>
      </c>
      <c r="F3808" t="inlineStr">
        <is>
          <t>Sveaskog</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33191-2025</t>
        </is>
      </c>
      <c r="B3809" s="1" t="n">
        <v>45840.6003587963</v>
      </c>
      <c r="C3809" s="1" t="n">
        <v>45952</v>
      </c>
      <c r="D3809" t="inlineStr">
        <is>
          <t>ÖREBRO LÄN</t>
        </is>
      </c>
      <c r="E3809" t="inlineStr">
        <is>
          <t>ÖREBRO</t>
        </is>
      </c>
      <c r="G3809" t="n">
        <v>2.6</v>
      </c>
      <c r="H3809" t="n">
        <v>0</v>
      </c>
      <c r="I3809" t="n">
        <v>0</v>
      </c>
      <c r="J3809" t="n">
        <v>0</v>
      </c>
      <c r="K3809" t="n">
        <v>0</v>
      </c>
      <c r="L3809" t="n">
        <v>0</v>
      </c>
      <c r="M3809" t="n">
        <v>0</v>
      </c>
      <c r="N3809" t="n">
        <v>0</v>
      </c>
      <c r="O3809" t="n">
        <v>0</v>
      </c>
      <c r="P3809" t="n">
        <v>0</v>
      </c>
      <c r="Q3809" t="n">
        <v>0</v>
      </c>
      <c r="R3809" s="2" t="inlineStr"/>
    </row>
    <row r="3810" ht="15" customHeight="1">
      <c r="A3810" t="inlineStr">
        <is>
          <t>A 33572-2025</t>
        </is>
      </c>
      <c r="B3810" s="1" t="n">
        <v>45841.58515046296</v>
      </c>
      <c r="C3810" s="1" t="n">
        <v>45952</v>
      </c>
      <c r="D3810" t="inlineStr">
        <is>
          <t>ÖREBRO LÄN</t>
        </is>
      </c>
      <c r="E3810" t="inlineStr">
        <is>
          <t>LAXÅ</t>
        </is>
      </c>
      <c r="F3810" t="inlineStr">
        <is>
          <t>Övriga statliga verk och myndigheter</t>
        </is>
      </c>
      <c r="G3810" t="n">
        <v>8.300000000000001</v>
      </c>
      <c r="H3810" t="n">
        <v>0</v>
      </c>
      <c r="I3810" t="n">
        <v>0</v>
      </c>
      <c r="J3810" t="n">
        <v>0</v>
      </c>
      <c r="K3810" t="n">
        <v>0</v>
      </c>
      <c r="L3810" t="n">
        <v>0</v>
      </c>
      <c r="M3810" t="n">
        <v>0</v>
      </c>
      <c r="N3810" t="n">
        <v>0</v>
      </c>
      <c r="O3810" t="n">
        <v>0</v>
      </c>
      <c r="P3810" t="n">
        <v>0</v>
      </c>
      <c r="Q3810" t="n">
        <v>0</v>
      </c>
      <c r="R3810" s="2" t="inlineStr"/>
    </row>
    <row r="3811" ht="15" customHeight="1">
      <c r="A3811" t="inlineStr">
        <is>
          <t>A 33597-2025</t>
        </is>
      </c>
      <c r="B3811" s="1" t="n">
        <v>45841.60391203704</v>
      </c>
      <c r="C3811" s="1" t="n">
        <v>45952</v>
      </c>
      <c r="D3811" t="inlineStr">
        <is>
          <t>ÖREBRO LÄN</t>
        </is>
      </c>
      <c r="E3811" t="inlineStr">
        <is>
          <t>LAXÅ</t>
        </is>
      </c>
      <c r="F3811" t="inlineStr">
        <is>
          <t>Övriga statliga verk och myndigheter</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32727-2024</t>
        </is>
      </c>
      <c r="B3812" s="1" t="n">
        <v>45516.4221412037</v>
      </c>
      <c r="C3812" s="1" t="n">
        <v>45952</v>
      </c>
      <c r="D3812" t="inlineStr">
        <is>
          <t>ÖREBRO LÄN</t>
        </is>
      </c>
      <c r="E3812" t="inlineStr">
        <is>
          <t>LINDESBERG</t>
        </is>
      </c>
      <c r="F3812" t="inlineStr">
        <is>
          <t>Sveaskog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20210-2024</t>
        </is>
      </c>
      <c r="B3813" s="1" t="n">
        <v>45434.65854166666</v>
      </c>
      <c r="C3813" s="1" t="n">
        <v>45952</v>
      </c>
      <c r="D3813" t="inlineStr">
        <is>
          <t>ÖREBRO LÄN</t>
        </is>
      </c>
      <c r="E3813" t="inlineStr">
        <is>
          <t>LINDESBERG</t>
        </is>
      </c>
      <c r="G3813" t="n">
        <v>5.5</v>
      </c>
      <c r="H3813" t="n">
        <v>0</v>
      </c>
      <c r="I3813" t="n">
        <v>0</v>
      </c>
      <c r="J3813" t="n">
        <v>0</v>
      </c>
      <c r="K3813" t="n">
        <v>0</v>
      </c>
      <c r="L3813" t="n">
        <v>0</v>
      </c>
      <c r="M3813" t="n">
        <v>0</v>
      </c>
      <c r="N3813" t="n">
        <v>0</v>
      </c>
      <c r="O3813" t="n">
        <v>0</v>
      </c>
      <c r="P3813" t="n">
        <v>0</v>
      </c>
      <c r="Q3813" t="n">
        <v>0</v>
      </c>
      <c r="R3813" s="2" t="inlineStr"/>
    </row>
    <row r="3814" ht="15" customHeight="1">
      <c r="A3814" t="inlineStr">
        <is>
          <t>A 33448-2025</t>
        </is>
      </c>
      <c r="B3814" s="1" t="n">
        <v>45841.46513888889</v>
      </c>
      <c r="C3814" s="1" t="n">
        <v>45952</v>
      </c>
      <c r="D3814" t="inlineStr">
        <is>
          <t>ÖREBRO LÄN</t>
        </is>
      </c>
      <c r="E3814" t="inlineStr">
        <is>
          <t>LJUSNARSBERG</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33163-2025</t>
        </is>
      </c>
      <c r="B3815" s="1" t="n">
        <v>45840.57258101852</v>
      </c>
      <c r="C3815" s="1" t="n">
        <v>45952</v>
      </c>
      <c r="D3815" t="inlineStr">
        <is>
          <t>ÖREBRO LÄN</t>
        </is>
      </c>
      <c r="E3815" t="inlineStr">
        <is>
          <t>ASKERSUND</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33195-2025</t>
        </is>
      </c>
      <c r="B3816" s="1" t="n">
        <v>45840.60313657407</v>
      </c>
      <c r="C3816" s="1" t="n">
        <v>45952</v>
      </c>
      <c r="D3816" t="inlineStr">
        <is>
          <t>ÖREBRO LÄN</t>
        </is>
      </c>
      <c r="E3816" t="inlineStr">
        <is>
          <t>ASKERSUND</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31957-2024</t>
        </is>
      </c>
      <c r="B3817" s="1" t="n">
        <v>45510.49798611111</v>
      </c>
      <c r="C3817" s="1" t="n">
        <v>45952</v>
      </c>
      <c r="D3817" t="inlineStr">
        <is>
          <t>ÖREBRO LÄN</t>
        </is>
      </c>
      <c r="E3817" t="inlineStr">
        <is>
          <t>NORA</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33581-2025</t>
        </is>
      </c>
      <c r="B3818" s="1" t="n">
        <v>45841.59417824074</v>
      </c>
      <c r="C3818" s="1" t="n">
        <v>45952</v>
      </c>
      <c r="D3818" t="inlineStr">
        <is>
          <t>ÖREBRO LÄN</t>
        </is>
      </c>
      <c r="E3818" t="inlineStr">
        <is>
          <t>LAXÅ</t>
        </is>
      </c>
      <c r="F3818" t="inlineStr">
        <is>
          <t>Övriga statliga verk och myndigheter</t>
        </is>
      </c>
      <c r="G3818" t="n">
        <v>2.3</v>
      </c>
      <c r="H3818" t="n">
        <v>0</v>
      </c>
      <c r="I3818" t="n">
        <v>0</v>
      </c>
      <c r="J3818" t="n">
        <v>0</v>
      </c>
      <c r="K3818" t="n">
        <v>0</v>
      </c>
      <c r="L3818" t="n">
        <v>0</v>
      </c>
      <c r="M3818" t="n">
        <v>0</v>
      </c>
      <c r="N3818" t="n">
        <v>0</v>
      </c>
      <c r="O3818" t="n">
        <v>0</v>
      </c>
      <c r="P3818" t="n">
        <v>0</v>
      </c>
      <c r="Q3818" t="n">
        <v>0</v>
      </c>
      <c r="R3818" s="2" t="inlineStr"/>
    </row>
    <row r="3819" ht="15" customHeight="1">
      <c r="A3819" t="inlineStr">
        <is>
          <t>A 33591-2025</t>
        </is>
      </c>
      <c r="B3819" s="1" t="n">
        <v>45841.5987962963</v>
      </c>
      <c r="C3819" s="1" t="n">
        <v>45952</v>
      </c>
      <c r="D3819" t="inlineStr">
        <is>
          <t>ÖREBRO LÄN</t>
        </is>
      </c>
      <c r="E3819" t="inlineStr">
        <is>
          <t>LAXÅ</t>
        </is>
      </c>
      <c r="F3819" t="inlineStr">
        <is>
          <t>Övriga statliga verk och myndigheter</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36276-2024</t>
        </is>
      </c>
      <c r="B3820" s="1" t="n">
        <v>45534.58140046296</v>
      </c>
      <c r="C3820" s="1" t="n">
        <v>45952</v>
      </c>
      <c r="D3820" t="inlineStr">
        <is>
          <t>ÖREBRO LÄN</t>
        </is>
      </c>
      <c r="E3820" t="inlineStr">
        <is>
          <t>HÄLLEFORS</t>
        </is>
      </c>
      <c r="F3820" t="inlineStr">
        <is>
          <t>Bergvik skog väst AB</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33181-2025</t>
        </is>
      </c>
      <c r="B3821" s="1" t="n">
        <v>45840.59094907407</v>
      </c>
      <c r="C3821" s="1" t="n">
        <v>45952</v>
      </c>
      <c r="D3821" t="inlineStr">
        <is>
          <t>ÖREBRO LÄN</t>
        </is>
      </c>
      <c r="E3821" t="inlineStr">
        <is>
          <t>LJUSNARSBERG</t>
        </is>
      </c>
      <c r="G3821" t="n">
        <v>9.699999999999999</v>
      </c>
      <c r="H3821" t="n">
        <v>0</v>
      </c>
      <c r="I3821" t="n">
        <v>0</v>
      </c>
      <c r="J3821" t="n">
        <v>0</v>
      </c>
      <c r="K3821" t="n">
        <v>0</v>
      </c>
      <c r="L3821" t="n">
        <v>0</v>
      </c>
      <c r="M3821" t="n">
        <v>0</v>
      </c>
      <c r="N3821" t="n">
        <v>0</v>
      </c>
      <c r="O3821" t="n">
        <v>0</v>
      </c>
      <c r="P3821" t="n">
        <v>0</v>
      </c>
      <c r="Q3821" t="n">
        <v>0</v>
      </c>
      <c r="R3821" s="2" t="inlineStr"/>
    </row>
    <row r="3822" ht="15" customHeight="1">
      <c r="A3822" t="inlineStr">
        <is>
          <t>A 33046-2025</t>
        </is>
      </c>
      <c r="B3822" s="1" t="n">
        <v>45840</v>
      </c>
      <c r="C3822" s="1" t="n">
        <v>45952</v>
      </c>
      <c r="D3822" t="inlineStr">
        <is>
          <t>ÖREBRO LÄN</t>
        </is>
      </c>
      <c r="E3822" t="inlineStr">
        <is>
          <t>LINDESBERG</t>
        </is>
      </c>
      <c r="G3822" t="n">
        <v>6.1</v>
      </c>
      <c r="H3822" t="n">
        <v>0</v>
      </c>
      <c r="I3822" t="n">
        <v>0</v>
      </c>
      <c r="J3822" t="n">
        <v>0</v>
      </c>
      <c r="K3822" t="n">
        <v>0</v>
      </c>
      <c r="L3822" t="n">
        <v>0</v>
      </c>
      <c r="M3822" t="n">
        <v>0</v>
      </c>
      <c r="N3822" t="n">
        <v>0</v>
      </c>
      <c r="O3822" t="n">
        <v>0</v>
      </c>
      <c r="P3822" t="n">
        <v>0</v>
      </c>
      <c r="Q3822" t="n">
        <v>0</v>
      </c>
      <c r="R3822" s="2" t="inlineStr"/>
    </row>
    <row r="3823" ht="15" customHeight="1">
      <c r="A3823" t="inlineStr">
        <is>
          <t>A 33666-2025</t>
        </is>
      </c>
      <c r="B3823" s="1" t="n">
        <v>45841.67148148148</v>
      </c>
      <c r="C3823" s="1" t="n">
        <v>45952</v>
      </c>
      <c r="D3823" t="inlineStr">
        <is>
          <t>ÖREBRO LÄN</t>
        </is>
      </c>
      <c r="E3823" t="inlineStr">
        <is>
          <t>LJUSNARSBERG</t>
        </is>
      </c>
      <c r="F3823" t="inlineStr">
        <is>
          <t>Kyrkan</t>
        </is>
      </c>
      <c r="G3823" t="n">
        <v>12.8</v>
      </c>
      <c r="H3823" t="n">
        <v>0</v>
      </c>
      <c r="I3823" t="n">
        <v>0</v>
      </c>
      <c r="J3823" t="n">
        <v>0</v>
      </c>
      <c r="K3823" t="n">
        <v>0</v>
      </c>
      <c r="L3823" t="n">
        <v>0</v>
      </c>
      <c r="M3823" t="n">
        <v>0</v>
      </c>
      <c r="N3823" t="n">
        <v>0</v>
      </c>
      <c r="O3823" t="n">
        <v>0</v>
      </c>
      <c r="P3823" t="n">
        <v>0</v>
      </c>
      <c r="Q3823" t="n">
        <v>0</v>
      </c>
      <c r="R3823" s="2" t="inlineStr"/>
    </row>
    <row r="3824" ht="15" customHeight="1">
      <c r="A3824" t="inlineStr">
        <is>
          <t>A 33019-2025</t>
        </is>
      </c>
      <c r="B3824" s="1" t="n">
        <v>45840</v>
      </c>
      <c r="C3824" s="1" t="n">
        <v>45952</v>
      </c>
      <c r="D3824" t="inlineStr">
        <is>
          <t>ÖREBRO LÄN</t>
        </is>
      </c>
      <c r="E3824" t="inlineStr">
        <is>
          <t>ÖREBRO</t>
        </is>
      </c>
      <c r="G3824" t="n">
        <v>4.2</v>
      </c>
      <c r="H3824" t="n">
        <v>0</v>
      </c>
      <c r="I3824" t="n">
        <v>0</v>
      </c>
      <c r="J3824" t="n">
        <v>0</v>
      </c>
      <c r="K3824" t="n">
        <v>0</v>
      </c>
      <c r="L3824" t="n">
        <v>0</v>
      </c>
      <c r="M3824" t="n">
        <v>0</v>
      </c>
      <c r="N3824" t="n">
        <v>0</v>
      </c>
      <c r="O3824" t="n">
        <v>0</v>
      </c>
      <c r="P3824" t="n">
        <v>0</v>
      </c>
      <c r="Q3824" t="n">
        <v>0</v>
      </c>
      <c r="R3824" s="2" t="inlineStr"/>
    </row>
    <row r="3825" ht="15" customHeight="1">
      <c r="A3825" t="inlineStr">
        <is>
          <t>A 33622-2025</t>
        </is>
      </c>
      <c r="B3825" s="1" t="n">
        <v>45841.63055555556</v>
      </c>
      <c r="C3825" s="1" t="n">
        <v>45952</v>
      </c>
      <c r="D3825" t="inlineStr">
        <is>
          <t>ÖREBRO LÄN</t>
        </is>
      </c>
      <c r="E3825" t="inlineStr">
        <is>
          <t>LJUSNARSBERG</t>
        </is>
      </c>
      <c r="F3825" t="inlineStr">
        <is>
          <t>Kyrkan</t>
        </is>
      </c>
      <c r="G3825" t="n">
        <v>5.3</v>
      </c>
      <c r="H3825" t="n">
        <v>0</v>
      </c>
      <c r="I3825" t="n">
        <v>0</v>
      </c>
      <c r="J3825" t="n">
        <v>0</v>
      </c>
      <c r="K3825" t="n">
        <v>0</v>
      </c>
      <c r="L3825" t="n">
        <v>0</v>
      </c>
      <c r="M3825" t="n">
        <v>0</v>
      </c>
      <c r="N3825" t="n">
        <v>0</v>
      </c>
      <c r="O3825" t="n">
        <v>0</v>
      </c>
      <c r="P3825" t="n">
        <v>0</v>
      </c>
      <c r="Q3825" t="n">
        <v>0</v>
      </c>
      <c r="R3825" s="2" t="inlineStr"/>
    </row>
    <row r="3826" ht="15" customHeight="1">
      <c r="A3826" t="inlineStr">
        <is>
          <t>A 33576-2025</t>
        </is>
      </c>
      <c r="B3826" s="1" t="n">
        <v>45841.58979166667</v>
      </c>
      <c r="C3826" s="1" t="n">
        <v>45952</v>
      </c>
      <c r="D3826" t="inlineStr">
        <is>
          <t>ÖREBRO LÄN</t>
        </is>
      </c>
      <c r="E3826" t="inlineStr">
        <is>
          <t>LAXÅ</t>
        </is>
      </c>
      <c r="F3826" t="inlineStr">
        <is>
          <t>Övriga statliga verk och myndigheter</t>
        </is>
      </c>
      <c r="G3826" t="n">
        <v>1.9</v>
      </c>
      <c r="H3826" t="n">
        <v>0</v>
      </c>
      <c r="I3826" t="n">
        <v>0</v>
      </c>
      <c r="J3826" t="n">
        <v>0</v>
      </c>
      <c r="K3826" t="n">
        <v>0</v>
      </c>
      <c r="L3826" t="n">
        <v>0</v>
      </c>
      <c r="M3826" t="n">
        <v>0</v>
      </c>
      <c r="N3826" t="n">
        <v>0</v>
      </c>
      <c r="O3826" t="n">
        <v>0</v>
      </c>
      <c r="P3826" t="n">
        <v>0</v>
      </c>
      <c r="Q3826" t="n">
        <v>0</v>
      </c>
      <c r="R3826" s="2" t="inlineStr"/>
    </row>
    <row r="3827" ht="15" customHeight="1">
      <c r="A3827" t="inlineStr">
        <is>
          <t>A 33282-2025</t>
        </is>
      </c>
      <c r="B3827" s="1" t="n">
        <v>45840.71344907407</v>
      </c>
      <c r="C3827" s="1" t="n">
        <v>45952</v>
      </c>
      <c r="D3827" t="inlineStr">
        <is>
          <t>ÖREBRO LÄN</t>
        </is>
      </c>
      <c r="E3827" t="inlineStr">
        <is>
          <t>LAXÅ</t>
        </is>
      </c>
      <c r="F3827" t="inlineStr">
        <is>
          <t>Allmännings- och besparingsskogar</t>
        </is>
      </c>
      <c r="G3827" t="n">
        <v>4.2</v>
      </c>
      <c r="H3827" t="n">
        <v>0</v>
      </c>
      <c r="I3827" t="n">
        <v>0</v>
      </c>
      <c r="J3827" t="n">
        <v>0</v>
      </c>
      <c r="K3827" t="n">
        <v>0</v>
      </c>
      <c r="L3827" t="n">
        <v>0</v>
      </c>
      <c r="M3827" t="n">
        <v>0</v>
      </c>
      <c r="N3827" t="n">
        <v>0</v>
      </c>
      <c r="O3827" t="n">
        <v>0</v>
      </c>
      <c r="P3827" t="n">
        <v>0</v>
      </c>
      <c r="Q3827" t="n">
        <v>0</v>
      </c>
      <c r="R3827" s="2" t="inlineStr"/>
    </row>
    <row r="3828" ht="15" customHeight="1">
      <c r="A3828" t="inlineStr">
        <is>
          <t>A 33200-2025</t>
        </is>
      </c>
      <c r="B3828" s="1" t="n">
        <v>45840.60550925926</v>
      </c>
      <c r="C3828" s="1" t="n">
        <v>45952</v>
      </c>
      <c r="D3828" t="inlineStr">
        <is>
          <t>ÖREBRO LÄN</t>
        </is>
      </c>
      <c r="E3828" t="inlineStr">
        <is>
          <t>ASKERSUND</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33204-2025</t>
        </is>
      </c>
      <c r="B3829" s="1" t="n">
        <v>45840.61181712963</v>
      </c>
      <c r="C3829" s="1" t="n">
        <v>45952</v>
      </c>
      <c r="D3829" t="inlineStr">
        <is>
          <t>ÖREBRO LÄN</t>
        </is>
      </c>
      <c r="E3829" t="inlineStr">
        <is>
          <t>LEKEBERG</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40240-2024</t>
        </is>
      </c>
      <c r="B3830" s="1" t="n">
        <v>45554.61458333334</v>
      </c>
      <c r="C3830" s="1" t="n">
        <v>45952</v>
      </c>
      <c r="D3830" t="inlineStr">
        <is>
          <t>ÖREBRO LÄN</t>
        </is>
      </c>
      <c r="E3830" t="inlineStr">
        <is>
          <t>LEKEBERG</t>
        </is>
      </c>
      <c r="G3830" t="n">
        <v>3.6</v>
      </c>
      <c r="H3830" t="n">
        <v>0</v>
      </c>
      <c r="I3830" t="n">
        <v>0</v>
      </c>
      <c r="J3830" t="n">
        <v>0</v>
      </c>
      <c r="K3830" t="n">
        <v>0</v>
      </c>
      <c r="L3830" t="n">
        <v>0</v>
      </c>
      <c r="M3830" t="n">
        <v>0</v>
      </c>
      <c r="N3830" t="n">
        <v>0</v>
      </c>
      <c r="O3830" t="n">
        <v>0</v>
      </c>
      <c r="P3830" t="n">
        <v>0</v>
      </c>
      <c r="Q3830" t="n">
        <v>0</v>
      </c>
      <c r="R3830" s="2" t="inlineStr"/>
    </row>
    <row r="3831" ht="15" customHeight="1">
      <c r="A3831" t="inlineStr">
        <is>
          <t>A 48581-2024</t>
        </is>
      </c>
      <c r="B3831" s="1" t="n">
        <v>45593.41642361111</v>
      </c>
      <c r="C3831" s="1" t="n">
        <v>45952</v>
      </c>
      <c r="D3831" t="inlineStr">
        <is>
          <t>ÖREBRO LÄN</t>
        </is>
      </c>
      <c r="E3831" t="inlineStr">
        <is>
          <t>ÖREBRO</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33404-2025</t>
        </is>
      </c>
      <c r="B3832" s="1" t="n">
        <v>45841</v>
      </c>
      <c r="C3832" s="1" t="n">
        <v>45952</v>
      </c>
      <c r="D3832" t="inlineStr">
        <is>
          <t>ÖREBRO LÄN</t>
        </is>
      </c>
      <c r="E3832" t="inlineStr">
        <is>
          <t>DEGERFORS</t>
        </is>
      </c>
      <c r="G3832" t="n">
        <v>1.5</v>
      </c>
      <c r="H3832" t="n">
        <v>0</v>
      </c>
      <c r="I3832" t="n">
        <v>0</v>
      </c>
      <c r="J3832" t="n">
        <v>0</v>
      </c>
      <c r="K3832" t="n">
        <v>0</v>
      </c>
      <c r="L3832" t="n">
        <v>0</v>
      </c>
      <c r="M3832" t="n">
        <v>0</v>
      </c>
      <c r="N3832" t="n">
        <v>0</v>
      </c>
      <c r="O3832" t="n">
        <v>0</v>
      </c>
      <c r="P3832" t="n">
        <v>0</v>
      </c>
      <c r="Q3832" t="n">
        <v>0</v>
      </c>
      <c r="R3832" s="2" t="inlineStr"/>
    </row>
    <row r="3833" ht="15" customHeight="1">
      <c r="A3833" t="inlineStr">
        <is>
          <t>A 34004-2025</t>
        </is>
      </c>
      <c r="B3833" s="1" t="n">
        <v>45844.5775</v>
      </c>
      <c r="C3833" s="1" t="n">
        <v>45952</v>
      </c>
      <c r="D3833" t="inlineStr">
        <is>
          <t>ÖREBRO LÄN</t>
        </is>
      </c>
      <c r="E3833" t="inlineStr">
        <is>
          <t>LINDESBERG</t>
        </is>
      </c>
      <c r="F3833" t="inlineStr">
        <is>
          <t>Sveaskog</t>
        </is>
      </c>
      <c r="G3833" t="n">
        <v>3.4</v>
      </c>
      <c r="H3833" t="n">
        <v>0</v>
      </c>
      <c r="I3833" t="n">
        <v>0</v>
      </c>
      <c r="J3833" t="n">
        <v>0</v>
      </c>
      <c r="K3833" t="n">
        <v>0</v>
      </c>
      <c r="L3833" t="n">
        <v>0</v>
      </c>
      <c r="M3833" t="n">
        <v>0</v>
      </c>
      <c r="N3833" t="n">
        <v>0</v>
      </c>
      <c r="O3833" t="n">
        <v>0</v>
      </c>
      <c r="P3833" t="n">
        <v>0</v>
      </c>
      <c r="Q3833" t="n">
        <v>0</v>
      </c>
      <c r="R3833" s="2" t="inlineStr"/>
    </row>
    <row r="3834" ht="15" customHeight="1">
      <c r="A3834" t="inlineStr">
        <is>
          <t>A 34033-2025</t>
        </is>
      </c>
      <c r="B3834" s="1" t="n">
        <v>45845.36700231482</v>
      </c>
      <c r="C3834" s="1" t="n">
        <v>45952</v>
      </c>
      <c r="D3834" t="inlineStr">
        <is>
          <t>ÖREBRO LÄN</t>
        </is>
      </c>
      <c r="E3834" t="inlineStr">
        <is>
          <t>HÄLLEFORS</t>
        </is>
      </c>
      <c r="F3834" t="inlineStr">
        <is>
          <t>Bergvik skog väst AB</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34037-2025</t>
        </is>
      </c>
      <c r="B3835" s="1" t="n">
        <v>45845.37002314815</v>
      </c>
      <c r="C3835" s="1" t="n">
        <v>45952</v>
      </c>
      <c r="D3835" t="inlineStr">
        <is>
          <t>ÖREBRO LÄN</t>
        </is>
      </c>
      <c r="E3835" t="inlineStr">
        <is>
          <t>HÄLLEFORS</t>
        </is>
      </c>
      <c r="F3835" t="inlineStr">
        <is>
          <t>Bergvik skog väst AB</t>
        </is>
      </c>
      <c r="G3835" t="n">
        <v>2.7</v>
      </c>
      <c r="H3835" t="n">
        <v>0</v>
      </c>
      <c r="I3835" t="n">
        <v>0</v>
      </c>
      <c r="J3835" t="n">
        <v>0</v>
      </c>
      <c r="K3835" t="n">
        <v>0</v>
      </c>
      <c r="L3835" t="n">
        <v>0</v>
      </c>
      <c r="M3835" t="n">
        <v>0</v>
      </c>
      <c r="N3835" t="n">
        <v>0</v>
      </c>
      <c r="O3835" t="n">
        <v>0</v>
      </c>
      <c r="P3835" t="n">
        <v>0</v>
      </c>
      <c r="Q3835" t="n">
        <v>0</v>
      </c>
      <c r="R3835" s="2" t="inlineStr"/>
    </row>
    <row r="3836" ht="15" customHeight="1">
      <c r="A3836" t="inlineStr">
        <is>
          <t>A 34018-2025</t>
        </is>
      </c>
      <c r="B3836" s="1" t="n">
        <v>45845.34341435185</v>
      </c>
      <c r="C3836" s="1" t="n">
        <v>45952</v>
      </c>
      <c r="D3836" t="inlineStr">
        <is>
          <t>ÖREBRO LÄN</t>
        </is>
      </c>
      <c r="E3836" t="inlineStr">
        <is>
          <t>HÄLLEFORS</t>
        </is>
      </c>
      <c r="G3836" t="n">
        <v>6.4</v>
      </c>
      <c r="H3836" t="n">
        <v>0</v>
      </c>
      <c r="I3836" t="n">
        <v>0</v>
      </c>
      <c r="J3836" t="n">
        <v>0</v>
      </c>
      <c r="K3836" t="n">
        <v>0</v>
      </c>
      <c r="L3836" t="n">
        <v>0</v>
      </c>
      <c r="M3836" t="n">
        <v>0</v>
      </c>
      <c r="N3836" t="n">
        <v>0</v>
      </c>
      <c r="O3836" t="n">
        <v>0</v>
      </c>
      <c r="P3836" t="n">
        <v>0</v>
      </c>
      <c r="Q3836" t="n">
        <v>0</v>
      </c>
      <c r="R3836" s="2" t="inlineStr"/>
    </row>
    <row r="3837" ht="15" customHeight="1">
      <c r="A3837" t="inlineStr">
        <is>
          <t>A 34020-2025</t>
        </is>
      </c>
      <c r="B3837" s="1" t="n">
        <v>45845.34695601852</v>
      </c>
      <c r="C3837" s="1" t="n">
        <v>45952</v>
      </c>
      <c r="D3837" t="inlineStr">
        <is>
          <t>ÖREBRO LÄN</t>
        </is>
      </c>
      <c r="E3837" t="inlineStr">
        <is>
          <t>HÄLLEFORS</t>
        </is>
      </c>
      <c r="F3837" t="inlineStr">
        <is>
          <t>Bergvik skog väst AB</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3920-2024</t>
        </is>
      </c>
      <c r="B3838" s="1" t="n">
        <v>45322.55128472222</v>
      </c>
      <c r="C3838" s="1" t="n">
        <v>45952</v>
      </c>
      <c r="D3838" t="inlineStr">
        <is>
          <t>ÖREBRO LÄN</t>
        </is>
      </c>
      <c r="E3838" t="inlineStr">
        <is>
          <t>KUMLA</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34042-2025</t>
        </is>
      </c>
      <c r="B3839" s="1" t="n">
        <v>45845.37733796296</v>
      </c>
      <c r="C3839" s="1" t="n">
        <v>45952</v>
      </c>
      <c r="D3839" t="inlineStr">
        <is>
          <t>ÖREBRO LÄN</t>
        </is>
      </c>
      <c r="E3839" t="inlineStr">
        <is>
          <t>HÄLLEFORS</t>
        </is>
      </c>
      <c r="F3839" t="inlineStr">
        <is>
          <t>Bergvik skog väst AB</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34045-2025</t>
        </is>
      </c>
      <c r="B3840" s="1" t="n">
        <v>45845.38480324074</v>
      </c>
      <c r="C3840" s="1" t="n">
        <v>45952</v>
      </c>
      <c r="D3840" t="inlineStr">
        <is>
          <t>ÖREBRO LÄN</t>
        </is>
      </c>
      <c r="E3840" t="inlineStr">
        <is>
          <t>HÄLLEFORS</t>
        </is>
      </c>
      <c r="F3840" t="inlineStr">
        <is>
          <t>Bergvik skog väst AB</t>
        </is>
      </c>
      <c r="G3840" t="n">
        <v>4</v>
      </c>
      <c r="H3840" t="n">
        <v>0</v>
      </c>
      <c r="I3840" t="n">
        <v>0</v>
      </c>
      <c r="J3840" t="n">
        <v>0</v>
      </c>
      <c r="K3840" t="n">
        <v>0</v>
      </c>
      <c r="L3840" t="n">
        <v>0</v>
      </c>
      <c r="M3840" t="n">
        <v>0</v>
      </c>
      <c r="N3840" t="n">
        <v>0</v>
      </c>
      <c r="O3840" t="n">
        <v>0</v>
      </c>
      <c r="P3840" t="n">
        <v>0</v>
      </c>
      <c r="Q3840" t="n">
        <v>0</v>
      </c>
      <c r="R3840" s="2" t="inlineStr"/>
    </row>
    <row r="3841" ht="15" customHeight="1">
      <c r="A3841" t="inlineStr">
        <is>
          <t>A 34052-2025</t>
        </is>
      </c>
      <c r="B3841" s="1" t="n">
        <v>45845.40813657407</v>
      </c>
      <c r="C3841" s="1" t="n">
        <v>45952</v>
      </c>
      <c r="D3841" t="inlineStr">
        <is>
          <t>ÖREBRO LÄN</t>
        </is>
      </c>
      <c r="E3841" t="inlineStr">
        <is>
          <t>HÄLLEFORS</t>
        </is>
      </c>
      <c r="G3841" t="n">
        <v>8.300000000000001</v>
      </c>
      <c r="H3841" t="n">
        <v>0</v>
      </c>
      <c r="I3841" t="n">
        <v>0</v>
      </c>
      <c r="J3841" t="n">
        <v>0</v>
      </c>
      <c r="K3841" t="n">
        <v>0</v>
      </c>
      <c r="L3841" t="n">
        <v>0</v>
      </c>
      <c r="M3841" t="n">
        <v>0</v>
      </c>
      <c r="N3841" t="n">
        <v>0</v>
      </c>
      <c r="O3841" t="n">
        <v>0</v>
      </c>
      <c r="P3841" t="n">
        <v>0</v>
      </c>
      <c r="Q3841" t="n">
        <v>0</v>
      </c>
      <c r="R3841" s="2" t="inlineStr"/>
    </row>
    <row r="3842" ht="15" customHeight="1">
      <c r="A3842" t="inlineStr">
        <is>
          <t>A 34104-2025</t>
        </is>
      </c>
      <c r="B3842" s="1" t="n">
        <v>45845.49216435185</v>
      </c>
      <c r="C3842" s="1" t="n">
        <v>45952</v>
      </c>
      <c r="D3842" t="inlineStr">
        <is>
          <t>ÖREBRO LÄN</t>
        </is>
      </c>
      <c r="E3842" t="inlineStr">
        <is>
          <t>LINDESBERG</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34059-2025</t>
        </is>
      </c>
      <c r="B3843" s="1" t="n">
        <v>45845.41988425926</v>
      </c>
      <c r="C3843" s="1" t="n">
        <v>45952</v>
      </c>
      <c r="D3843" t="inlineStr">
        <is>
          <t>ÖREBRO LÄN</t>
        </is>
      </c>
      <c r="E3843" t="inlineStr">
        <is>
          <t>HÄLLEFORS</t>
        </is>
      </c>
      <c r="G3843" t="n">
        <v>9.199999999999999</v>
      </c>
      <c r="H3843" t="n">
        <v>0</v>
      </c>
      <c r="I3843" t="n">
        <v>0</v>
      </c>
      <c r="J3843" t="n">
        <v>0</v>
      </c>
      <c r="K3843" t="n">
        <v>0</v>
      </c>
      <c r="L3843" t="n">
        <v>0</v>
      </c>
      <c r="M3843" t="n">
        <v>0</v>
      </c>
      <c r="N3843" t="n">
        <v>0</v>
      </c>
      <c r="O3843" t="n">
        <v>0</v>
      </c>
      <c r="P3843" t="n">
        <v>0</v>
      </c>
      <c r="Q3843" t="n">
        <v>0</v>
      </c>
      <c r="R3843" s="2" t="inlineStr"/>
    </row>
    <row r="3844" ht="15" customHeight="1">
      <c r="A3844" t="inlineStr">
        <is>
          <t>A 60557-2020</t>
        </is>
      </c>
      <c r="B3844" s="1" t="n">
        <v>44153</v>
      </c>
      <c r="C3844" s="1" t="n">
        <v>45952</v>
      </c>
      <c r="D3844" t="inlineStr">
        <is>
          <t>ÖREBRO LÄN</t>
        </is>
      </c>
      <c r="E3844" t="inlineStr">
        <is>
          <t>ASKERSUND</t>
        </is>
      </c>
      <c r="G3844" t="n">
        <v>1.5</v>
      </c>
      <c r="H3844" t="n">
        <v>0</v>
      </c>
      <c r="I3844" t="n">
        <v>0</v>
      </c>
      <c r="J3844" t="n">
        <v>0</v>
      </c>
      <c r="K3844" t="n">
        <v>0</v>
      </c>
      <c r="L3844" t="n">
        <v>0</v>
      </c>
      <c r="M3844" t="n">
        <v>0</v>
      </c>
      <c r="N3844" t="n">
        <v>0</v>
      </c>
      <c r="O3844" t="n">
        <v>0</v>
      </c>
      <c r="P3844" t="n">
        <v>0</v>
      </c>
      <c r="Q3844" t="n">
        <v>0</v>
      </c>
      <c r="R3844" s="2" t="inlineStr"/>
    </row>
    <row r="3845" ht="15" customHeight="1">
      <c r="A3845" t="inlineStr">
        <is>
          <t>A 33729-2025</t>
        </is>
      </c>
      <c r="B3845" s="1" t="n">
        <v>45842.29508101852</v>
      </c>
      <c r="C3845" s="1" t="n">
        <v>45952</v>
      </c>
      <c r="D3845" t="inlineStr">
        <is>
          <t>ÖREBRO LÄN</t>
        </is>
      </c>
      <c r="E3845" t="inlineStr">
        <is>
          <t>HALLSBERG</t>
        </is>
      </c>
      <c r="F3845" t="inlineStr">
        <is>
          <t>Allmännings- och besparingsskogar</t>
        </is>
      </c>
      <c r="G3845" t="n">
        <v>7.5</v>
      </c>
      <c r="H3845" t="n">
        <v>0</v>
      </c>
      <c r="I3845" t="n">
        <v>0</v>
      </c>
      <c r="J3845" t="n">
        <v>0</v>
      </c>
      <c r="K3845" t="n">
        <v>0</v>
      </c>
      <c r="L3845" t="n">
        <v>0</v>
      </c>
      <c r="M3845" t="n">
        <v>0</v>
      </c>
      <c r="N3845" t="n">
        <v>0</v>
      </c>
      <c r="O3845" t="n">
        <v>0</v>
      </c>
      <c r="P3845" t="n">
        <v>0</v>
      </c>
      <c r="Q3845" t="n">
        <v>0</v>
      </c>
      <c r="R3845" s="2" t="inlineStr"/>
    </row>
    <row r="3846" ht="15" customHeight="1">
      <c r="A3846" t="inlineStr">
        <is>
          <t>A 40231-2022</t>
        </is>
      </c>
      <c r="B3846" s="1" t="n">
        <v>44820</v>
      </c>
      <c r="C3846" s="1" t="n">
        <v>45952</v>
      </c>
      <c r="D3846" t="inlineStr">
        <is>
          <t>ÖREBRO LÄN</t>
        </is>
      </c>
      <c r="E3846" t="inlineStr">
        <is>
          <t>ÖREBRO</t>
        </is>
      </c>
      <c r="F3846" t="inlineStr">
        <is>
          <t>Allmännings- och besparingsskogar</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24352-2023</t>
        </is>
      </c>
      <c r="B3847" s="1" t="n">
        <v>45082.31421296296</v>
      </c>
      <c r="C3847" s="1" t="n">
        <v>45952</v>
      </c>
      <c r="D3847" t="inlineStr">
        <is>
          <t>ÖREBRO LÄN</t>
        </is>
      </c>
      <c r="E3847" t="inlineStr">
        <is>
          <t>LINDESBERG</t>
        </is>
      </c>
      <c r="F3847" t="inlineStr">
        <is>
          <t>Sveaskog</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33574-2024</t>
        </is>
      </c>
      <c r="B3848" s="1" t="n">
        <v>45520.32887731482</v>
      </c>
      <c r="C3848" s="1" t="n">
        <v>45952</v>
      </c>
      <c r="D3848" t="inlineStr">
        <is>
          <t>ÖREBRO LÄN</t>
        </is>
      </c>
      <c r="E3848" t="inlineStr">
        <is>
          <t>LINDESBERG</t>
        </is>
      </c>
      <c r="F3848" t="inlineStr">
        <is>
          <t>Sveaskog</t>
        </is>
      </c>
      <c r="G3848" t="n">
        <v>1.6</v>
      </c>
      <c r="H3848" t="n">
        <v>0</v>
      </c>
      <c r="I3848" t="n">
        <v>0</v>
      </c>
      <c r="J3848" t="n">
        <v>0</v>
      </c>
      <c r="K3848" t="n">
        <v>0</v>
      </c>
      <c r="L3848" t="n">
        <v>0</v>
      </c>
      <c r="M3848" t="n">
        <v>0</v>
      </c>
      <c r="N3848" t="n">
        <v>0</v>
      </c>
      <c r="O3848" t="n">
        <v>0</v>
      </c>
      <c r="P3848" t="n">
        <v>0</v>
      </c>
      <c r="Q3848" t="n">
        <v>0</v>
      </c>
      <c r="R3848" s="2" t="inlineStr"/>
    </row>
    <row r="3849" ht="15" customHeight="1">
      <c r="A3849" t="inlineStr">
        <is>
          <t>A 34023-2025</t>
        </is>
      </c>
      <c r="B3849" s="1" t="n">
        <v>45845.35355324074</v>
      </c>
      <c r="C3849" s="1" t="n">
        <v>45952</v>
      </c>
      <c r="D3849" t="inlineStr">
        <is>
          <t>ÖREBRO LÄN</t>
        </is>
      </c>
      <c r="E3849" t="inlineStr">
        <is>
          <t>HÄLLEFORS</t>
        </is>
      </c>
      <c r="F3849" t="inlineStr">
        <is>
          <t>Bergvik skog väst AB</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34057-2025</t>
        </is>
      </c>
      <c r="B3850" s="1" t="n">
        <v>45845.41581018519</v>
      </c>
      <c r="C3850" s="1" t="n">
        <v>45952</v>
      </c>
      <c r="D3850" t="inlineStr">
        <is>
          <t>ÖREBRO LÄN</t>
        </is>
      </c>
      <c r="E3850" t="inlineStr">
        <is>
          <t>HÄLLEFORS</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9933-2025</t>
        </is>
      </c>
      <c r="B3851" s="1" t="n">
        <v>45717.85300925926</v>
      </c>
      <c r="C3851" s="1" t="n">
        <v>45952</v>
      </c>
      <c r="D3851" t="inlineStr">
        <is>
          <t>ÖREBRO LÄN</t>
        </is>
      </c>
      <c r="E3851" t="inlineStr">
        <is>
          <t>HALLSBERG</t>
        </is>
      </c>
      <c r="F3851" t="inlineStr">
        <is>
          <t>Sveaskog</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36237-2024</t>
        </is>
      </c>
      <c r="B3852" s="1" t="n">
        <v>45534.50446759259</v>
      </c>
      <c r="C3852" s="1" t="n">
        <v>45952</v>
      </c>
      <c r="D3852" t="inlineStr">
        <is>
          <t>ÖREBRO LÄN</t>
        </is>
      </c>
      <c r="E3852" t="inlineStr">
        <is>
          <t>KUMLA</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33660-2023</t>
        </is>
      </c>
      <c r="B3853" s="1" t="n">
        <v>45132.59460648148</v>
      </c>
      <c r="C3853" s="1" t="n">
        <v>45952</v>
      </c>
      <c r="D3853" t="inlineStr">
        <is>
          <t>ÖREBRO LÄN</t>
        </is>
      </c>
      <c r="E3853" t="inlineStr">
        <is>
          <t>ASKERSUND</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34029-2025</t>
        </is>
      </c>
      <c r="B3854" s="1" t="n">
        <v>45845.36309027778</v>
      </c>
      <c r="C3854" s="1" t="n">
        <v>45952</v>
      </c>
      <c r="D3854" t="inlineStr">
        <is>
          <t>ÖREBRO LÄN</t>
        </is>
      </c>
      <c r="E3854" t="inlineStr">
        <is>
          <t>HÄLLEFORS</t>
        </is>
      </c>
      <c r="F3854" t="inlineStr">
        <is>
          <t>Bergvik skog väst AB</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61091-2023</t>
        </is>
      </c>
      <c r="B3855" s="1" t="n">
        <v>45261.6415625</v>
      </c>
      <c r="C3855" s="1" t="n">
        <v>45952</v>
      </c>
      <c r="D3855" t="inlineStr">
        <is>
          <t>ÖREBRO LÄN</t>
        </is>
      </c>
      <c r="E3855" t="inlineStr">
        <is>
          <t>LAXÅ</t>
        </is>
      </c>
      <c r="F3855" t="inlineStr">
        <is>
          <t>Sveaskog</t>
        </is>
      </c>
      <c r="G3855" t="n">
        <v>1.8</v>
      </c>
      <c r="H3855" t="n">
        <v>0</v>
      </c>
      <c r="I3855" t="n">
        <v>0</v>
      </c>
      <c r="J3855" t="n">
        <v>0</v>
      </c>
      <c r="K3855" t="n">
        <v>0</v>
      </c>
      <c r="L3855" t="n">
        <v>0</v>
      </c>
      <c r="M3855" t="n">
        <v>0</v>
      </c>
      <c r="N3855" t="n">
        <v>0</v>
      </c>
      <c r="O3855" t="n">
        <v>0</v>
      </c>
      <c r="P3855" t="n">
        <v>0</v>
      </c>
      <c r="Q3855" t="n">
        <v>0</v>
      </c>
      <c r="R3855" s="2" t="inlineStr"/>
    </row>
    <row r="3856" ht="15" customHeight="1">
      <c r="A3856" t="inlineStr">
        <is>
          <t>A 14963-2025</t>
        </is>
      </c>
      <c r="B3856" s="1" t="n">
        <v>45743.58699074074</v>
      </c>
      <c r="C3856" s="1" t="n">
        <v>45952</v>
      </c>
      <c r="D3856" t="inlineStr">
        <is>
          <t>ÖREBRO LÄN</t>
        </is>
      </c>
      <c r="E3856" t="inlineStr">
        <is>
          <t>ÖREBRO</t>
        </is>
      </c>
      <c r="G3856" t="n">
        <v>9.1</v>
      </c>
      <c r="H3856" t="n">
        <v>0</v>
      </c>
      <c r="I3856" t="n">
        <v>0</v>
      </c>
      <c r="J3856" t="n">
        <v>0</v>
      </c>
      <c r="K3856" t="n">
        <v>0</v>
      </c>
      <c r="L3856" t="n">
        <v>0</v>
      </c>
      <c r="M3856" t="n">
        <v>0</v>
      </c>
      <c r="N3856" t="n">
        <v>0</v>
      </c>
      <c r="O3856" t="n">
        <v>0</v>
      </c>
      <c r="P3856" t="n">
        <v>0</v>
      </c>
      <c r="Q3856" t="n">
        <v>0</v>
      </c>
      <c r="R3856" s="2" t="inlineStr"/>
    </row>
    <row r="3857" ht="15" customHeight="1">
      <c r="A3857" t="inlineStr">
        <is>
          <t>A 20139-2025</t>
        </is>
      </c>
      <c r="B3857" s="1" t="n">
        <v>45772</v>
      </c>
      <c r="C3857" s="1" t="n">
        <v>45952</v>
      </c>
      <c r="D3857" t="inlineStr">
        <is>
          <t>ÖREBRO LÄN</t>
        </is>
      </c>
      <c r="E3857" t="inlineStr">
        <is>
          <t>KARLSKOGA</t>
        </is>
      </c>
      <c r="F3857" t="inlineStr">
        <is>
          <t>Sveaskog</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20140-2025</t>
        </is>
      </c>
      <c r="B3858" s="1" t="n">
        <v>45772</v>
      </c>
      <c r="C3858" s="1" t="n">
        <v>45952</v>
      </c>
      <c r="D3858" t="inlineStr">
        <is>
          <t>ÖREBRO LÄN</t>
        </is>
      </c>
      <c r="E3858" t="inlineStr">
        <is>
          <t>KARLSKOGA</t>
        </is>
      </c>
      <c r="F3858" t="inlineStr">
        <is>
          <t>Sveaskog</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9754-2022</t>
        </is>
      </c>
      <c r="B3859" s="1" t="n">
        <v>44618.81180555555</v>
      </c>
      <c r="C3859" s="1" t="n">
        <v>45952</v>
      </c>
      <c r="D3859" t="inlineStr">
        <is>
          <t>ÖREBRO LÄN</t>
        </is>
      </c>
      <c r="E3859" t="inlineStr">
        <is>
          <t>NORA</t>
        </is>
      </c>
      <c r="G3859" t="n">
        <v>1.8</v>
      </c>
      <c r="H3859" t="n">
        <v>0</v>
      </c>
      <c r="I3859" t="n">
        <v>0</v>
      </c>
      <c r="J3859" t="n">
        <v>0</v>
      </c>
      <c r="K3859" t="n">
        <v>0</v>
      </c>
      <c r="L3859" t="n">
        <v>0</v>
      </c>
      <c r="M3859" t="n">
        <v>0</v>
      </c>
      <c r="N3859" t="n">
        <v>0</v>
      </c>
      <c r="O3859" t="n">
        <v>0</v>
      </c>
      <c r="P3859" t="n">
        <v>0</v>
      </c>
      <c r="Q3859" t="n">
        <v>0</v>
      </c>
      <c r="R3859" s="2" t="inlineStr"/>
    </row>
    <row r="3860" ht="15" customHeight="1">
      <c r="A3860" t="inlineStr">
        <is>
          <t>A 34002-2025</t>
        </is>
      </c>
      <c r="B3860" s="1" t="n">
        <v>45844.57328703703</v>
      </c>
      <c r="C3860" s="1" t="n">
        <v>45952</v>
      </c>
      <c r="D3860" t="inlineStr">
        <is>
          <t>ÖREBRO LÄN</t>
        </is>
      </c>
      <c r="E3860" t="inlineStr">
        <is>
          <t>LINDESBERG</t>
        </is>
      </c>
      <c r="F3860" t="inlineStr">
        <is>
          <t>Sveaskog</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34003-2025</t>
        </is>
      </c>
      <c r="B3861" s="1" t="n">
        <v>45844.57527777777</v>
      </c>
      <c r="C3861" s="1" t="n">
        <v>45952</v>
      </c>
      <c r="D3861" t="inlineStr">
        <is>
          <t>ÖREBRO LÄN</t>
        </is>
      </c>
      <c r="E3861" t="inlineStr">
        <is>
          <t>LINDESBERG</t>
        </is>
      </c>
      <c r="F3861" t="inlineStr">
        <is>
          <t>Sveaskog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5518-2022</t>
        </is>
      </c>
      <c r="B3862" s="1" t="n">
        <v>44595</v>
      </c>
      <c r="C3862" s="1" t="n">
        <v>45952</v>
      </c>
      <c r="D3862" t="inlineStr">
        <is>
          <t>ÖREBRO LÄN</t>
        </is>
      </c>
      <c r="E3862" t="inlineStr">
        <is>
          <t>ASKERSUND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34022-2025</t>
        </is>
      </c>
      <c r="B3863" s="1" t="n">
        <v>45845.34983796296</v>
      </c>
      <c r="C3863" s="1" t="n">
        <v>45952</v>
      </c>
      <c r="D3863" t="inlineStr">
        <is>
          <t>ÖREBRO LÄN</t>
        </is>
      </c>
      <c r="E3863" t="inlineStr">
        <is>
          <t>HÄLLEFORS</t>
        </is>
      </c>
      <c r="F3863" t="inlineStr">
        <is>
          <t>Bergvik skog väst AB</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34025-2025</t>
        </is>
      </c>
      <c r="B3864" s="1" t="n">
        <v>45845.35546296297</v>
      </c>
      <c r="C3864" s="1" t="n">
        <v>45952</v>
      </c>
      <c r="D3864" t="inlineStr">
        <is>
          <t>ÖREBRO LÄN</t>
        </is>
      </c>
      <c r="E3864" t="inlineStr">
        <is>
          <t>HÄLLEFORS</t>
        </is>
      </c>
      <c r="F3864" t="inlineStr">
        <is>
          <t>Bergvik skog väst AB</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34093-2025</t>
        </is>
      </c>
      <c r="B3865" s="1" t="n">
        <v>45845.47775462963</v>
      </c>
      <c r="C3865" s="1" t="n">
        <v>45952</v>
      </c>
      <c r="D3865" t="inlineStr">
        <is>
          <t>ÖREBRO LÄN</t>
        </is>
      </c>
      <c r="E3865" t="inlineStr">
        <is>
          <t>HÄLLEFORS</t>
        </is>
      </c>
      <c r="F3865" t="inlineStr">
        <is>
          <t>Bergvik skog väst AB</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34097-2025</t>
        </is>
      </c>
      <c r="B3866" s="1" t="n">
        <v>45845.4855787037</v>
      </c>
      <c r="C3866" s="1" t="n">
        <v>45952</v>
      </c>
      <c r="D3866" t="inlineStr">
        <is>
          <t>ÖREBRO LÄN</t>
        </is>
      </c>
      <c r="E3866" t="inlineStr">
        <is>
          <t>LINDESBERG</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33887-2024</t>
        </is>
      </c>
      <c r="B3867" s="1" t="n">
        <v>45523.3167824074</v>
      </c>
      <c r="C3867" s="1" t="n">
        <v>45952</v>
      </c>
      <c r="D3867" t="inlineStr">
        <is>
          <t>ÖREBRO LÄN</t>
        </is>
      </c>
      <c r="E3867" t="inlineStr">
        <is>
          <t>NORA</t>
        </is>
      </c>
      <c r="G3867" t="n">
        <v>1.2</v>
      </c>
      <c r="H3867" t="n">
        <v>0</v>
      </c>
      <c r="I3867" t="n">
        <v>0</v>
      </c>
      <c r="J3867" t="n">
        <v>0</v>
      </c>
      <c r="K3867" t="n">
        <v>0</v>
      </c>
      <c r="L3867" t="n">
        <v>0</v>
      </c>
      <c r="M3867" t="n">
        <v>0</v>
      </c>
      <c r="N3867" t="n">
        <v>0</v>
      </c>
      <c r="O3867" t="n">
        <v>0</v>
      </c>
      <c r="P3867" t="n">
        <v>0</v>
      </c>
      <c r="Q3867" t="n">
        <v>0</v>
      </c>
      <c r="R3867" s="2" t="inlineStr"/>
    </row>
    <row r="3868" ht="15" customHeight="1">
      <c r="A3868" t="inlineStr">
        <is>
          <t>A 33907-2024</t>
        </is>
      </c>
      <c r="B3868" s="1" t="n">
        <v>45523.37623842592</v>
      </c>
      <c r="C3868" s="1" t="n">
        <v>45952</v>
      </c>
      <c r="D3868" t="inlineStr">
        <is>
          <t>ÖREBRO LÄN</t>
        </is>
      </c>
      <c r="E3868" t="inlineStr">
        <is>
          <t>LEKEBERG</t>
        </is>
      </c>
      <c r="G3868" t="n">
        <v>3.3</v>
      </c>
      <c r="H3868" t="n">
        <v>0</v>
      </c>
      <c r="I3868" t="n">
        <v>0</v>
      </c>
      <c r="J3868" t="n">
        <v>0</v>
      </c>
      <c r="K3868" t="n">
        <v>0</v>
      </c>
      <c r="L3868" t="n">
        <v>0</v>
      </c>
      <c r="M3868" t="n">
        <v>0</v>
      </c>
      <c r="N3868" t="n">
        <v>0</v>
      </c>
      <c r="O3868" t="n">
        <v>0</v>
      </c>
      <c r="P3868" t="n">
        <v>0</v>
      </c>
      <c r="Q3868" t="n">
        <v>0</v>
      </c>
      <c r="R3868" s="2" t="inlineStr"/>
    </row>
    <row r="3869" ht="15" customHeight="1">
      <c r="A3869" t="inlineStr">
        <is>
          <t>A 33910-2024</t>
        </is>
      </c>
      <c r="B3869" s="1" t="n">
        <v>45523.38473379629</v>
      </c>
      <c r="C3869" s="1" t="n">
        <v>45952</v>
      </c>
      <c r="D3869" t="inlineStr">
        <is>
          <t>ÖREBRO LÄN</t>
        </is>
      </c>
      <c r="E3869" t="inlineStr">
        <is>
          <t>LEKEBERG</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34062-2025</t>
        </is>
      </c>
      <c r="B3870" s="1" t="n">
        <v>45845.4264699074</v>
      </c>
      <c r="C3870" s="1" t="n">
        <v>45952</v>
      </c>
      <c r="D3870" t="inlineStr">
        <is>
          <t>ÖREBRO LÄN</t>
        </is>
      </c>
      <c r="E3870" t="inlineStr">
        <is>
          <t>HÄLLEFORS</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28819-2023</t>
        </is>
      </c>
      <c r="B3871" s="1" t="n">
        <v>45104.38340277778</v>
      </c>
      <c r="C3871" s="1" t="n">
        <v>45952</v>
      </c>
      <c r="D3871" t="inlineStr">
        <is>
          <t>ÖREBRO LÄN</t>
        </is>
      </c>
      <c r="E3871" t="inlineStr">
        <is>
          <t>ASKERSUND</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23674-2024</t>
        </is>
      </c>
      <c r="B3872" s="1" t="n">
        <v>45454.60694444444</v>
      </c>
      <c r="C3872" s="1" t="n">
        <v>45952</v>
      </c>
      <c r="D3872" t="inlineStr">
        <is>
          <t>ÖREBRO LÄN</t>
        </is>
      </c>
      <c r="E3872" t="inlineStr">
        <is>
          <t>LAXÅ</t>
        </is>
      </c>
      <c r="G3872" t="n">
        <v>6.5</v>
      </c>
      <c r="H3872" t="n">
        <v>0</v>
      </c>
      <c r="I3872" t="n">
        <v>0</v>
      </c>
      <c r="J3872" t="n">
        <v>0</v>
      </c>
      <c r="K3872" t="n">
        <v>0</v>
      </c>
      <c r="L3872" t="n">
        <v>0</v>
      </c>
      <c r="M3872" t="n">
        <v>0</v>
      </c>
      <c r="N3872" t="n">
        <v>0</v>
      </c>
      <c r="O3872" t="n">
        <v>0</v>
      </c>
      <c r="P3872" t="n">
        <v>0</v>
      </c>
      <c r="Q3872" t="n">
        <v>0</v>
      </c>
      <c r="R3872" s="2" t="inlineStr"/>
    </row>
    <row r="3873" ht="15" customHeight="1">
      <c r="A3873" t="inlineStr">
        <is>
          <t>A 28897-2023</t>
        </is>
      </c>
      <c r="B3873" s="1" t="n">
        <v>45104</v>
      </c>
      <c r="C3873" s="1" t="n">
        <v>45952</v>
      </c>
      <c r="D3873" t="inlineStr">
        <is>
          <t>ÖREBRO LÄN</t>
        </is>
      </c>
      <c r="E3873" t="inlineStr">
        <is>
          <t>ASKERSUND</t>
        </is>
      </c>
      <c r="G3873" t="n">
        <v>9.300000000000001</v>
      </c>
      <c r="H3873" t="n">
        <v>0</v>
      </c>
      <c r="I3873" t="n">
        <v>0</v>
      </c>
      <c r="J3873" t="n">
        <v>0</v>
      </c>
      <c r="K3873" t="n">
        <v>0</v>
      </c>
      <c r="L3873" t="n">
        <v>0</v>
      </c>
      <c r="M3873" t="n">
        <v>0</v>
      </c>
      <c r="N3873" t="n">
        <v>0</v>
      </c>
      <c r="O3873" t="n">
        <v>0</v>
      </c>
      <c r="P3873" t="n">
        <v>0</v>
      </c>
      <c r="Q3873" t="n">
        <v>0</v>
      </c>
      <c r="R3873" s="2" t="inlineStr"/>
    </row>
    <row r="3874" ht="15" customHeight="1">
      <c r="A3874" t="inlineStr">
        <is>
          <t>A 34267-2025</t>
        </is>
      </c>
      <c r="B3874" s="1" t="n">
        <v>45845.76005787037</v>
      </c>
      <c r="C3874" s="1" t="n">
        <v>45952</v>
      </c>
      <c r="D3874" t="inlineStr">
        <is>
          <t>ÖREBRO LÄN</t>
        </is>
      </c>
      <c r="E3874" t="inlineStr">
        <is>
          <t>LINDESBERG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34264-2025</t>
        </is>
      </c>
      <c r="B3875" s="1" t="n">
        <v>45845.75200231482</v>
      </c>
      <c r="C3875" s="1" t="n">
        <v>45952</v>
      </c>
      <c r="D3875" t="inlineStr">
        <is>
          <t>ÖREBRO LÄN</t>
        </is>
      </c>
      <c r="E3875" t="inlineStr">
        <is>
          <t>LINDESBERG</t>
        </is>
      </c>
      <c r="G3875" t="n">
        <v>3.9</v>
      </c>
      <c r="H3875" t="n">
        <v>0</v>
      </c>
      <c r="I3875" t="n">
        <v>0</v>
      </c>
      <c r="J3875" t="n">
        <v>0</v>
      </c>
      <c r="K3875" t="n">
        <v>0</v>
      </c>
      <c r="L3875" t="n">
        <v>0</v>
      </c>
      <c r="M3875" t="n">
        <v>0</v>
      </c>
      <c r="N3875" t="n">
        <v>0</v>
      </c>
      <c r="O3875" t="n">
        <v>0</v>
      </c>
      <c r="P3875" t="n">
        <v>0</v>
      </c>
      <c r="Q3875" t="n">
        <v>0</v>
      </c>
      <c r="R3875" s="2" t="inlineStr"/>
    </row>
    <row r="3876" ht="15" customHeight="1">
      <c r="A3876" t="inlineStr">
        <is>
          <t>A 6179-2021</t>
        </is>
      </c>
      <c r="B3876" s="1" t="n">
        <v>44232</v>
      </c>
      <c r="C3876" s="1" t="n">
        <v>45952</v>
      </c>
      <c r="D3876" t="inlineStr">
        <is>
          <t>ÖREBRO LÄN</t>
        </is>
      </c>
      <c r="E3876" t="inlineStr">
        <is>
          <t>NORA</t>
        </is>
      </c>
      <c r="G3876" t="n">
        <v>7.2</v>
      </c>
      <c r="H3876" t="n">
        <v>0</v>
      </c>
      <c r="I3876" t="n">
        <v>0</v>
      </c>
      <c r="J3876" t="n">
        <v>0</v>
      </c>
      <c r="K3876" t="n">
        <v>0</v>
      </c>
      <c r="L3876" t="n">
        <v>0</v>
      </c>
      <c r="M3876" t="n">
        <v>0</v>
      </c>
      <c r="N3876" t="n">
        <v>0</v>
      </c>
      <c r="O3876" t="n">
        <v>0</v>
      </c>
      <c r="P3876" t="n">
        <v>0</v>
      </c>
      <c r="Q3876" t="n">
        <v>0</v>
      </c>
      <c r="R3876" s="2" t="inlineStr"/>
    </row>
    <row r="3877" ht="15" customHeight="1">
      <c r="A3877" t="inlineStr">
        <is>
          <t>A 51488-2021</t>
        </is>
      </c>
      <c r="B3877" s="1" t="n">
        <v>44460</v>
      </c>
      <c r="C3877" s="1" t="n">
        <v>45952</v>
      </c>
      <c r="D3877" t="inlineStr">
        <is>
          <t>ÖREBRO LÄN</t>
        </is>
      </c>
      <c r="E3877" t="inlineStr">
        <is>
          <t>HÄLLEFORS</t>
        </is>
      </c>
      <c r="G3877" t="n">
        <v>2.8</v>
      </c>
      <c r="H3877" t="n">
        <v>0</v>
      </c>
      <c r="I3877" t="n">
        <v>0</v>
      </c>
      <c r="J3877" t="n">
        <v>0</v>
      </c>
      <c r="K3877" t="n">
        <v>0</v>
      </c>
      <c r="L3877" t="n">
        <v>0</v>
      </c>
      <c r="M3877" t="n">
        <v>0</v>
      </c>
      <c r="N3877" t="n">
        <v>0</v>
      </c>
      <c r="O3877" t="n">
        <v>0</v>
      </c>
      <c r="P3877" t="n">
        <v>0</v>
      </c>
      <c r="Q3877" t="n">
        <v>0</v>
      </c>
      <c r="R3877" s="2" t="inlineStr"/>
    </row>
    <row r="3878" ht="15" customHeight="1">
      <c r="A3878" t="inlineStr">
        <is>
          <t>A 48687-2024</t>
        </is>
      </c>
      <c r="B3878" s="1" t="n">
        <v>45593.49899305555</v>
      </c>
      <c r="C3878" s="1" t="n">
        <v>45952</v>
      </c>
      <c r="D3878" t="inlineStr">
        <is>
          <t>ÖREBRO LÄN</t>
        </is>
      </c>
      <c r="E3878" t="inlineStr">
        <is>
          <t>ÖREBRO</t>
        </is>
      </c>
      <c r="F3878" t="inlineStr">
        <is>
          <t>Övriga Aktiebolag</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28788-2022</t>
        </is>
      </c>
      <c r="B3879" s="1" t="n">
        <v>44749.39806712963</v>
      </c>
      <c r="C3879" s="1" t="n">
        <v>45952</v>
      </c>
      <c r="D3879" t="inlineStr">
        <is>
          <t>ÖREBRO LÄN</t>
        </is>
      </c>
      <c r="E3879" t="inlineStr">
        <is>
          <t>HÄLLEFORS</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31265-2024</t>
        </is>
      </c>
      <c r="B3880" s="1" t="n">
        <v>45503.97861111111</v>
      </c>
      <c r="C3880" s="1" t="n">
        <v>45952</v>
      </c>
      <c r="D3880" t="inlineStr">
        <is>
          <t>ÖREBRO LÄN</t>
        </is>
      </c>
      <c r="E3880" t="inlineStr">
        <is>
          <t>ASKERSUND</t>
        </is>
      </c>
      <c r="G3880" t="n">
        <v>15.5</v>
      </c>
      <c r="H3880" t="n">
        <v>0</v>
      </c>
      <c r="I3880" t="n">
        <v>0</v>
      </c>
      <c r="J3880" t="n">
        <v>0</v>
      </c>
      <c r="K3880" t="n">
        <v>0</v>
      </c>
      <c r="L3880" t="n">
        <v>0</v>
      </c>
      <c r="M3880" t="n">
        <v>0</v>
      </c>
      <c r="N3880" t="n">
        <v>0</v>
      </c>
      <c r="O3880" t="n">
        <v>0</v>
      </c>
      <c r="P3880" t="n">
        <v>0</v>
      </c>
      <c r="Q3880" t="n">
        <v>0</v>
      </c>
      <c r="R3880" s="2" t="inlineStr"/>
    </row>
    <row r="3881" ht="15" customHeight="1">
      <c r="A3881" t="inlineStr">
        <is>
          <t>A 34434-2025</t>
        </is>
      </c>
      <c r="B3881" s="1" t="n">
        <v>45846.67712962963</v>
      </c>
      <c r="C3881" s="1" t="n">
        <v>45952</v>
      </c>
      <c r="D3881" t="inlineStr">
        <is>
          <t>ÖREBRO LÄN</t>
        </is>
      </c>
      <c r="E3881" t="inlineStr">
        <is>
          <t>ASKERSUND</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22824-2023</t>
        </is>
      </c>
      <c r="B3882" s="1" t="n">
        <v>45072</v>
      </c>
      <c r="C3882" s="1" t="n">
        <v>45952</v>
      </c>
      <c r="D3882" t="inlineStr">
        <is>
          <t>ÖREBRO LÄN</t>
        </is>
      </c>
      <c r="E3882" t="inlineStr">
        <is>
          <t>LINDESBERG</t>
        </is>
      </c>
      <c r="F3882" t="inlineStr">
        <is>
          <t>Sveaskog</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34433-2025</t>
        </is>
      </c>
      <c r="B3883" s="1" t="n">
        <v>45846.67590277778</v>
      </c>
      <c r="C3883" s="1" t="n">
        <v>45952</v>
      </c>
      <c r="D3883" t="inlineStr">
        <is>
          <t>ÖREBRO LÄN</t>
        </is>
      </c>
      <c r="E3883" t="inlineStr">
        <is>
          <t>ASKERSUND</t>
        </is>
      </c>
      <c r="G3883" t="n">
        <v>2.1</v>
      </c>
      <c r="H3883" t="n">
        <v>0</v>
      </c>
      <c r="I3883" t="n">
        <v>0</v>
      </c>
      <c r="J3883" t="n">
        <v>0</v>
      </c>
      <c r="K3883" t="n">
        <v>0</v>
      </c>
      <c r="L3883" t="n">
        <v>0</v>
      </c>
      <c r="M3883" t="n">
        <v>0</v>
      </c>
      <c r="N3883" t="n">
        <v>0</v>
      </c>
      <c r="O3883" t="n">
        <v>0</v>
      </c>
      <c r="P3883" t="n">
        <v>0</v>
      </c>
      <c r="Q3883" t="n">
        <v>0</v>
      </c>
      <c r="R3883" s="2" t="inlineStr"/>
    </row>
    <row r="3884" ht="15" customHeight="1">
      <c r="A3884" t="inlineStr">
        <is>
          <t>A 28524-2022</t>
        </is>
      </c>
      <c r="B3884" s="1" t="n">
        <v>44748.36506944444</v>
      </c>
      <c r="C3884" s="1" t="n">
        <v>45952</v>
      </c>
      <c r="D3884" t="inlineStr">
        <is>
          <t>ÖREBRO LÄN</t>
        </is>
      </c>
      <c r="E3884" t="inlineStr">
        <is>
          <t>LAXÅ</t>
        </is>
      </c>
      <c r="F3884" t="inlineStr">
        <is>
          <t>Sveaskog</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34835-2025</t>
        </is>
      </c>
      <c r="B3885" s="1" t="n">
        <v>45849.38855324074</v>
      </c>
      <c r="C3885" s="1" t="n">
        <v>45952</v>
      </c>
      <c r="D3885" t="inlineStr">
        <is>
          <t>ÖREBRO LÄN</t>
        </is>
      </c>
      <c r="E3885" t="inlineStr">
        <is>
          <t>NORA</t>
        </is>
      </c>
      <c r="F3885" t="inlineStr">
        <is>
          <t>Sveaskog</t>
        </is>
      </c>
      <c r="G3885" t="n">
        <v>0.6</v>
      </c>
      <c r="H3885" t="n">
        <v>0</v>
      </c>
      <c r="I3885" t="n">
        <v>0</v>
      </c>
      <c r="J3885" t="n">
        <v>0</v>
      </c>
      <c r="K3885" t="n">
        <v>0</v>
      </c>
      <c r="L3885" t="n">
        <v>0</v>
      </c>
      <c r="M3885" t="n">
        <v>0</v>
      </c>
      <c r="N3885" t="n">
        <v>0</v>
      </c>
      <c r="O3885" t="n">
        <v>0</v>
      </c>
      <c r="P3885" t="n">
        <v>0</v>
      </c>
      <c r="Q3885" t="n">
        <v>0</v>
      </c>
      <c r="R3885" s="2" t="inlineStr"/>
    </row>
    <row r="3886" ht="15" customHeight="1">
      <c r="A3886" t="inlineStr">
        <is>
          <t>A 51239-2023</t>
        </is>
      </c>
      <c r="B3886" s="1" t="n">
        <v>45219</v>
      </c>
      <c r="C3886" s="1" t="n">
        <v>45952</v>
      </c>
      <c r="D3886" t="inlineStr">
        <is>
          <t>ÖREBRO LÄN</t>
        </is>
      </c>
      <c r="E3886" t="inlineStr">
        <is>
          <t>KUMLA</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55477-2023</t>
        </is>
      </c>
      <c r="B3887" s="1" t="n">
        <v>45238</v>
      </c>
      <c r="C3887" s="1" t="n">
        <v>45952</v>
      </c>
      <c r="D3887" t="inlineStr">
        <is>
          <t>ÖREBRO LÄN</t>
        </is>
      </c>
      <c r="E3887" t="inlineStr">
        <is>
          <t>HÄLLEFORS</t>
        </is>
      </c>
      <c r="F3887" t="inlineStr">
        <is>
          <t>Bergvik skog väst AB</t>
        </is>
      </c>
      <c r="G3887" t="n">
        <v>6.6</v>
      </c>
      <c r="H3887" t="n">
        <v>0</v>
      </c>
      <c r="I3887" t="n">
        <v>0</v>
      </c>
      <c r="J3887" t="n">
        <v>0</v>
      </c>
      <c r="K3887" t="n">
        <v>0</v>
      </c>
      <c r="L3887" t="n">
        <v>0</v>
      </c>
      <c r="M3887" t="n">
        <v>0</v>
      </c>
      <c r="N3887" t="n">
        <v>0</v>
      </c>
      <c r="O3887" t="n">
        <v>0</v>
      </c>
      <c r="P3887" t="n">
        <v>0</v>
      </c>
      <c r="Q3887" t="n">
        <v>0</v>
      </c>
      <c r="R3887" s="2" t="inlineStr"/>
    </row>
    <row r="3888" ht="15" customHeight="1">
      <c r="A3888" t="inlineStr">
        <is>
          <t>A 34824-2025</t>
        </is>
      </c>
      <c r="B3888" s="1" t="n">
        <v>45849.38061342593</v>
      </c>
      <c r="C3888" s="1" t="n">
        <v>45952</v>
      </c>
      <c r="D3888" t="inlineStr">
        <is>
          <t>ÖREBRO LÄN</t>
        </is>
      </c>
      <c r="E3888" t="inlineStr">
        <is>
          <t>NORA</t>
        </is>
      </c>
      <c r="F3888" t="inlineStr">
        <is>
          <t>Sveaskog</t>
        </is>
      </c>
      <c r="G3888" t="n">
        <v>3</v>
      </c>
      <c r="H3888" t="n">
        <v>0</v>
      </c>
      <c r="I3888" t="n">
        <v>0</v>
      </c>
      <c r="J3888" t="n">
        <v>0</v>
      </c>
      <c r="K3888" t="n">
        <v>0</v>
      </c>
      <c r="L3888" t="n">
        <v>0</v>
      </c>
      <c r="M3888" t="n">
        <v>0</v>
      </c>
      <c r="N3888" t="n">
        <v>0</v>
      </c>
      <c r="O3888" t="n">
        <v>0</v>
      </c>
      <c r="P3888" t="n">
        <v>0</v>
      </c>
      <c r="Q3888" t="n">
        <v>0</v>
      </c>
      <c r="R3888" s="2" t="inlineStr"/>
    </row>
    <row r="3889" ht="15" customHeight="1">
      <c r="A3889" t="inlineStr">
        <is>
          <t>A 34827-2025</t>
        </is>
      </c>
      <c r="B3889" s="1" t="n">
        <v>45849.38547453703</v>
      </c>
      <c r="C3889" s="1" t="n">
        <v>45952</v>
      </c>
      <c r="D3889" t="inlineStr">
        <is>
          <t>ÖREBRO LÄN</t>
        </is>
      </c>
      <c r="E3889" t="inlineStr">
        <is>
          <t>NORA</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33455-2023</t>
        </is>
      </c>
      <c r="B3890" s="1" t="n">
        <v>45130.98962962963</v>
      </c>
      <c r="C3890" s="1" t="n">
        <v>45952</v>
      </c>
      <c r="D3890" t="inlineStr">
        <is>
          <t>ÖREBRO LÄN</t>
        </is>
      </c>
      <c r="E3890" t="inlineStr">
        <is>
          <t>ÖREBRO</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35659-2023</t>
        </is>
      </c>
      <c r="B3891" s="1" t="n">
        <v>45147</v>
      </c>
      <c r="C3891" s="1" t="n">
        <v>45952</v>
      </c>
      <c r="D3891" t="inlineStr">
        <is>
          <t>ÖREBRO LÄN</t>
        </is>
      </c>
      <c r="E3891" t="inlineStr">
        <is>
          <t>NORA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57422-2021</t>
        </is>
      </c>
      <c r="B3892" s="1" t="n">
        <v>44483</v>
      </c>
      <c r="C3892" s="1" t="n">
        <v>45952</v>
      </c>
      <c r="D3892" t="inlineStr">
        <is>
          <t>ÖREBRO LÄN</t>
        </is>
      </c>
      <c r="E3892" t="inlineStr">
        <is>
          <t>KARLSKOGA</t>
        </is>
      </c>
      <c r="G3892" t="n">
        <v>1.2</v>
      </c>
      <c r="H3892" t="n">
        <v>0</v>
      </c>
      <c r="I3892" t="n">
        <v>0</v>
      </c>
      <c r="J3892" t="n">
        <v>0</v>
      </c>
      <c r="K3892" t="n">
        <v>0</v>
      </c>
      <c r="L3892" t="n">
        <v>0</v>
      </c>
      <c r="M3892" t="n">
        <v>0</v>
      </c>
      <c r="N3892" t="n">
        <v>0</v>
      </c>
      <c r="O3892" t="n">
        <v>0</v>
      </c>
      <c r="P3892" t="n">
        <v>0</v>
      </c>
      <c r="Q3892" t="n">
        <v>0</v>
      </c>
      <c r="R3892" s="2" t="inlineStr"/>
    </row>
    <row r="3893" ht="15" customHeight="1">
      <c r="A3893" t="inlineStr">
        <is>
          <t>A 36509-2024</t>
        </is>
      </c>
      <c r="B3893" s="1" t="n">
        <v>45537.42240740741</v>
      </c>
      <c r="C3893" s="1" t="n">
        <v>45952</v>
      </c>
      <c r="D3893" t="inlineStr">
        <is>
          <t>ÖREBRO LÄN</t>
        </is>
      </c>
      <c r="E3893" t="inlineStr">
        <is>
          <t>LINDESBERG</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36516-2023</t>
        </is>
      </c>
      <c r="B3894" s="1" t="n">
        <v>45153</v>
      </c>
      <c r="C3894" s="1" t="n">
        <v>45952</v>
      </c>
      <c r="D3894" t="inlineStr">
        <is>
          <t>ÖREBRO LÄN</t>
        </is>
      </c>
      <c r="E3894" t="inlineStr">
        <is>
          <t>LEKEBERG</t>
        </is>
      </c>
      <c r="F3894" t="inlineStr">
        <is>
          <t>Sveaskog</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34825-2025</t>
        </is>
      </c>
      <c r="B3895" s="1" t="n">
        <v>45849.38262731482</v>
      </c>
      <c r="C3895" s="1" t="n">
        <v>45952</v>
      </c>
      <c r="D3895" t="inlineStr">
        <is>
          <t>ÖREBRO LÄN</t>
        </is>
      </c>
      <c r="E3895" t="inlineStr">
        <is>
          <t>NORA</t>
        </is>
      </c>
      <c r="F3895" t="inlineStr">
        <is>
          <t>Sveaskog</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27702-2025</t>
        </is>
      </c>
      <c r="B3896" s="1" t="n">
        <v>45813.68209490741</v>
      </c>
      <c r="C3896" s="1" t="n">
        <v>45952</v>
      </c>
      <c r="D3896" t="inlineStr">
        <is>
          <t>ÖREBRO LÄN</t>
        </is>
      </c>
      <c r="E3896" t="inlineStr">
        <is>
          <t>LINDESBERG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14477-2025</t>
        </is>
      </c>
      <c r="B3897" s="1" t="n">
        <v>45741.58723379629</v>
      </c>
      <c r="C3897" s="1" t="n">
        <v>45952</v>
      </c>
      <c r="D3897" t="inlineStr">
        <is>
          <t>ÖREBRO LÄN</t>
        </is>
      </c>
      <c r="E3897" t="inlineStr">
        <is>
          <t>NORA</t>
        </is>
      </c>
      <c r="F3897" t="inlineStr">
        <is>
          <t>Sveaskog</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59940-2023</t>
        </is>
      </c>
      <c r="B3898" s="1" t="n">
        <v>45257.67709490741</v>
      </c>
      <c r="C3898" s="1" t="n">
        <v>45952</v>
      </c>
      <c r="D3898" t="inlineStr">
        <is>
          <t>ÖREBRO LÄN</t>
        </is>
      </c>
      <c r="E3898" t="inlineStr">
        <is>
          <t>ASKERSUND</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14482-2025</t>
        </is>
      </c>
      <c r="B3899" s="1" t="n">
        <v>45741.59662037037</v>
      </c>
      <c r="C3899" s="1" t="n">
        <v>45952</v>
      </c>
      <c r="D3899" t="inlineStr">
        <is>
          <t>ÖREBRO LÄN</t>
        </is>
      </c>
      <c r="E3899" t="inlineStr">
        <is>
          <t>NORA</t>
        </is>
      </c>
      <c r="F3899" t="inlineStr">
        <is>
          <t>Sveaskog</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17075-2025</t>
        </is>
      </c>
      <c r="B3900" s="1" t="n">
        <v>45755.62278935185</v>
      </c>
      <c r="C3900" s="1" t="n">
        <v>45952</v>
      </c>
      <c r="D3900" t="inlineStr">
        <is>
          <t>ÖREBRO LÄN</t>
        </is>
      </c>
      <c r="E3900" t="inlineStr">
        <is>
          <t>HÄLLEFORS</t>
        </is>
      </c>
      <c r="F3900" t="inlineStr">
        <is>
          <t>Bergvik skog väst AB</t>
        </is>
      </c>
      <c r="G3900" t="n">
        <v>3.2</v>
      </c>
      <c r="H3900" t="n">
        <v>0</v>
      </c>
      <c r="I3900" t="n">
        <v>0</v>
      </c>
      <c r="J3900" t="n">
        <v>0</v>
      </c>
      <c r="K3900" t="n">
        <v>0</v>
      </c>
      <c r="L3900" t="n">
        <v>0</v>
      </c>
      <c r="M3900" t="n">
        <v>0</v>
      </c>
      <c r="N3900" t="n">
        <v>0</v>
      </c>
      <c r="O3900" t="n">
        <v>0</v>
      </c>
      <c r="P3900" t="n">
        <v>0</v>
      </c>
      <c r="Q3900" t="n">
        <v>0</v>
      </c>
      <c r="R3900" s="2" t="inlineStr"/>
    </row>
    <row r="3901" ht="15" customHeight="1">
      <c r="A3901" t="inlineStr">
        <is>
          <t>A 27638-2025</t>
        </is>
      </c>
      <c r="B3901" s="1" t="n">
        <v>45813</v>
      </c>
      <c r="C3901" s="1" t="n">
        <v>45952</v>
      </c>
      <c r="D3901" t="inlineStr">
        <is>
          <t>ÖREBRO LÄN</t>
        </is>
      </c>
      <c r="E3901" t="inlineStr">
        <is>
          <t>LEKEBERG</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24916-2022</t>
        </is>
      </c>
      <c r="B3902" s="1" t="n">
        <v>44728</v>
      </c>
      <c r="C3902" s="1" t="n">
        <v>45952</v>
      </c>
      <c r="D3902" t="inlineStr">
        <is>
          <t>ÖREBRO LÄN</t>
        </is>
      </c>
      <c r="E3902" t="inlineStr">
        <is>
          <t>LINDESBERG</t>
        </is>
      </c>
      <c r="G3902" t="n">
        <v>8.1</v>
      </c>
      <c r="H3902" t="n">
        <v>0</v>
      </c>
      <c r="I3902" t="n">
        <v>0</v>
      </c>
      <c r="J3902" t="n">
        <v>0</v>
      </c>
      <c r="K3902" t="n">
        <v>0</v>
      </c>
      <c r="L3902" t="n">
        <v>0</v>
      </c>
      <c r="M3902" t="n">
        <v>0</v>
      </c>
      <c r="N3902" t="n">
        <v>0</v>
      </c>
      <c r="O3902" t="n">
        <v>0</v>
      </c>
      <c r="P3902" t="n">
        <v>0</v>
      </c>
      <c r="Q3902" t="n">
        <v>0</v>
      </c>
      <c r="R3902" s="2" t="inlineStr"/>
    </row>
    <row r="3903" ht="15" customHeight="1">
      <c r="A3903" t="inlineStr">
        <is>
          <t>A 59863-2024</t>
        </is>
      </c>
      <c r="B3903" s="1" t="n">
        <v>45639</v>
      </c>
      <c r="C3903" s="1" t="n">
        <v>45952</v>
      </c>
      <c r="D3903" t="inlineStr">
        <is>
          <t>ÖREBRO LÄN</t>
        </is>
      </c>
      <c r="E3903" t="inlineStr">
        <is>
          <t>DEGERFORS</t>
        </is>
      </c>
      <c r="G3903" t="n">
        <v>1.6</v>
      </c>
      <c r="H3903" t="n">
        <v>0</v>
      </c>
      <c r="I3903" t="n">
        <v>0</v>
      </c>
      <c r="J3903" t="n">
        <v>0</v>
      </c>
      <c r="K3903" t="n">
        <v>0</v>
      </c>
      <c r="L3903" t="n">
        <v>0</v>
      </c>
      <c r="M3903" t="n">
        <v>0</v>
      </c>
      <c r="N3903" t="n">
        <v>0</v>
      </c>
      <c r="O3903" t="n">
        <v>0</v>
      </c>
      <c r="P3903" t="n">
        <v>0</v>
      </c>
      <c r="Q3903" t="n">
        <v>0</v>
      </c>
      <c r="R3903" s="2" t="inlineStr"/>
    </row>
    <row r="3904" ht="15" customHeight="1">
      <c r="A3904" t="inlineStr">
        <is>
          <t>A 5677-2025</t>
        </is>
      </c>
      <c r="B3904" s="1" t="n">
        <v>45694</v>
      </c>
      <c r="C3904" s="1" t="n">
        <v>45952</v>
      </c>
      <c r="D3904" t="inlineStr">
        <is>
          <t>ÖREBRO LÄN</t>
        </is>
      </c>
      <c r="E3904" t="inlineStr">
        <is>
          <t>LINDESBERG</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5033-2025</t>
        </is>
      </c>
      <c r="B3905" s="1" t="n">
        <v>45691.425625</v>
      </c>
      <c r="C3905" s="1" t="n">
        <v>45952</v>
      </c>
      <c r="D3905" t="inlineStr">
        <is>
          <t>ÖREBRO LÄN</t>
        </is>
      </c>
      <c r="E3905" t="inlineStr">
        <is>
          <t>HÄLLEFORS</t>
        </is>
      </c>
      <c r="F3905" t="inlineStr">
        <is>
          <t>Bergvik skog väst AB</t>
        </is>
      </c>
      <c r="G3905" t="n">
        <v>5.6</v>
      </c>
      <c r="H3905" t="n">
        <v>0</v>
      </c>
      <c r="I3905" t="n">
        <v>0</v>
      </c>
      <c r="J3905" t="n">
        <v>0</v>
      </c>
      <c r="K3905" t="n">
        <v>0</v>
      </c>
      <c r="L3905" t="n">
        <v>0</v>
      </c>
      <c r="M3905" t="n">
        <v>0</v>
      </c>
      <c r="N3905" t="n">
        <v>0</v>
      </c>
      <c r="O3905" t="n">
        <v>0</v>
      </c>
      <c r="P3905" t="n">
        <v>0</v>
      </c>
      <c r="Q3905" t="n">
        <v>0</v>
      </c>
      <c r="R3905" s="2" t="inlineStr"/>
    </row>
    <row r="3906" ht="15" customHeight="1">
      <c r="A3906" t="inlineStr">
        <is>
          <t>A 33428-2024</t>
        </is>
      </c>
      <c r="B3906" s="1" t="n">
        <v>45519.52319444445</v>
      </c>
      <c r="C3906" s="1" t="n">
        <v>45952</v>
      </c>
      <c r="D3906" t="inlineStr">
        <is>
          <t>ÖREBRO LÄN</t>
        </is>
      </c>
      <c r="E3906" t="inlineStr">
        <is>
          <t>LINDESBERG</t>
        </is>
      </c>
      <c r="F3906" t="inlineStr">
        <is>
          <t>Sveaskog</t>
        </is>
      </c>
      <c r="G3906" t="n">
        <v>0.2</v>
      </c>
      <c r="H3906" t="n">
        <v>0</v>
      </c>
      <c r="I3906" t="n">
        <v>0</v>
      </c>
      <c r="J3906" t="n">
        <v>0</v>
      </c>
      <c r="K3906" t="n">
        <v>0</v>
      </c>
      <c r="L3906" t="n">
        <v>0</v>
      </c>
      <c r="M3906" t="n">
        <v>0</v>
      </c>
      <c r="N3906" t="n">
        <v>0</v>
      </c>
      <c r="O3906" t="n">
        <v>0</v>
      </c>
      <c r="P3906" t="n">
        <v>0</v>
      </c>
      <c r="Q3906" t="n">
        <v>0</v>
      </c>
      <c r="R3906" s="2" t="inlineStr"/>
    </row>
    <row r="3907" ht="15" customHeight="1">
      <c r="A3907" t="inlineStr">
        <is>
          <t>A 43958-2024</t>
        </is>
      </c>
      <c r="B3907" s="1" t="n">
        <v>45572.47811342592</v>
      </c>
      <c r="C3907" s="1" t="n">
        <v>45952</v>
      </c>
      <c r="D3907" t="inlineStr">
        <is>
          <t>ÖREBRO LÄN</t>
        </is>
      </c>
      <c r="E3907" t="inlineStr">
        <is>
          <t>ASKERSUND</t>
        </is>
      </c>
      <c r="F3907" t="inlineStr">
        <is>
          <t>Sveaskog</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14598-2025</t>
        </is>
      </c>
      <c r="B3908" s="1" t="n">
        <v>45742.36125</v>
      </c>
      <c r="C3908" s="1" t="n">
        <v>45952</v>
      </c>
      <c r="D3908" t="inlineStr">
        <is>
          <t>ÖREBRO LÄN</t>
        </is>
      </c>
      <c r="E3908" t="inlineStr">
        <is>
          <t>ASKERSUND</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35079-2025</t>
        </is>
      </c>
      <c r="B3909" s="1" t="n">
        <v>45852.48940972222</v>
      </c>
      <c r="C3909" s="1" t="n">
        <v>45952</v>
      </c>
      <c r="D3909" t="inlineStr">
        <is>
          <t>ÖREBRO LÄN</t>
        </is>
      </c>
      <c r="E3909" t="inlineStr">
        <is>
          <t>LJUSNARSBERG</t>
        </is>
      </c>
      <c r="F3909" t="inlineStr">
        <is>
          <t>Kyrkan</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12616-2025</t>
        </is>
      </c>
      <c r="B3910" s="1" t="n">
        <v>45733</v>
      </c>
      <c r="C3910" s="1" t="n">
        <v>45952</v>
      </c>
      <c r="D3910" t="inlineStr">
        <is>
          <t>ÖREBRO LÄN</t>
        </is>
      </c>
      <c r="E3910" t="inlineStr">
        <is>
          <t>LEKEBERG</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17350-2025</t>
        </is>
      </c>
      <c r="B3911" s="1" t="n">
        <v>45756.68074074074</v>
      </c>
      <c r="C3911" s="1" t="n">
        <v>45952</v>
      </c>
      <c r="D3911" t="inlineStr">
        <is>
          <t>ÖREBRO LÄN</t>
        </is>
      </c>
      <c r="E3911" t="inlineStr">
        <is>
          <t>HÄLLEFORS</t>
        </is>
      </c>
      <c r="F3911" t="inlineStr">
        <is>
          <t>Bergvik skog väst AB</t>
        </is>
      </c>
      <c r="G3911" t="n">
        <v>6.9</v>
      </c>
      <c r="H3911" t="n">
        <v>0</v>
      </c>
      <c r="I3911" t="n">
        <v>0</v>
      </c>
      <c r="J3911" t="n">
        <v>0</v>
      </c>
      <c r="K3911" t="n">
        <v>0</v>
      </c>
      <c r="L3911" t="n">
        <v>0</v>
      </c>
      <c r="M3911" t="n">
        <v>0</v>
      </c>
      <c r="N3911" t="n">
        <v>0</v>
      </c>
      <c r="O3911" t="n">
        <v>0</v>
      </c>
      <c r="P3911" t="n">
        <v>0</v>
      </c>
      <c r="Q3911" t="n">
        <v>0</v>
      </c>
      <c r="R3911" s="2" t="inlineStr"/>
    </row>
    <row r="3912" ht="15" customHeight="1">
      <c r="A3912" t="inlineStr">
        <is>
          <t>A 17140-2022</t>
        </is>
      </c>
      <c r="B3912" s="1" t="n">
        <v>44677.53418981482</v>
      </c>
      <c r="C3912" s="1" t="n">
        <v>45952</v>
      </c>
      <c r="D3912" t="inlineStr">
        <is>
          <t>ÖREBRO LÄN</t>
        </is>
      </c>
      <c r="E3912" t="inlineStr">
        <is>
          <t>NORA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29859-2022</t>
        </is>
      </c>
      <c r="B3913" s="1" t="n">
        <v>44756.38414351852</v>
      </c>
      <c r="C3913" s="1" t="n">
        <v>45952</v>
      </c>
      <c r="D3913" t="inlineStr">
        <is>
          <t>ÖREBRO LÄN</t>
        </is>
      </c>
      <c r="E3913" t="inlineStr">
        <is>
          <t>HALLSBERG</t>
        </is>
      </c>
      <c r="G3913" t="n">
        <v>1.5</v>
      </c>
      <c r="H3913" t="n">
        <v>0</v>
      </c>
      <c r="I3913" t="n">
        <v>0</v>
      </c>
      <c r="J3913" t="n">
        <v>0</v>
      </c>
      <c r="K3913" t="n">
        <v>0</v>
      </c>
      <c r="L3913" t="n">
        <v>0</v>
      </c>
      <c r="M3913" t="n">
        <v>0</v>
      </c>
      <c r="N3913" t="n">
        <v>0</v>
      </c>
      <c r="O3913" t="n">
        <v>0</v>
      </c>
      <c r="P3913" t="n">
        <v>0</v>
      </c>
      <c r="Q3913" t="n">
        <v>0</v>
      </c>
      <c r="R3913" s="2" t="inlineStr"/>
    </row>
    <row r="3914" ht="15" customHeight="1">
      <c r="A3914" t="inlineStr">
        <is>
          <t>A 14678-2025</t>
        </is>
      </c>
      <c r="B3914" s="1" t="n">
        <v>45742.56563657407</v>
      </c>
      <c r="C3914" s="1" t="n">
        <v>45952</v>
      </c>
      <c r="D3914" t="inlineStr">
        <is>
          <t>ÖREBRO LÄN</t>
        </is>
      </c>
      <c r="E3914" t="inlineStr">
        <is>
          <t>DEGERFORS</t>
        </is>
      </c>
      <c r="F3914" t="inlineStr">
        <is>
          <t>Sveaskog</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14681-2025</t>
        </is>
      </c>
      <c r="B3915" s="1" t="n">
        <v>45742.56857638889</v>
      </c>
      <c r="C3915" s="1" t="n">
        <v>45952</v>
      </c>
      <c r="D3915" t="inlineStr">
        <is>
          <t>ÖREBRO LÄN</t>
        </is>
      </c>
      <c r="E3915" t="inlineStr">
        <is>
          <t>DEGERFORS</t>
        </is>
      </c>
      <c r="F3915" t="inlineStr">
        <is>
          <t>Sveaskog</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35062-2025</t>
        </is>
      </c>
      <c r="B3916" s="1" t="n">
        <v>45852</v>
      </c>
      <c r="C3916" s="1" t="n">
        <v>45952</v>
      </c>
      <c r="D3916" t="inlineStr">
        <is>
          <t>ÖREBRO LÄN</t>
        </is>
      </c>
      <c r="E3916" t="inlineStr">
        <is>
          <t>ÖREBRO</t>
        </is>
      </c>
      <c r="G3916" t="n">
        <v>2.8</v>
      </c>
      <c r="H3916" t="n">
        <v>0</v>
      </c>
      <c r="I3916" t="n">
        <v>0</v>
      </c>
      <c r="J3916" t="n">
        <v>0</v>
      </c>
      <c r="K3916" t="n">
        <v>0</v>
      </c>
      <c r="L3916" t="n">
        <v>0</v>
      </c>
      <c r="M3916" t="n">
        <v>0</v>
      </c>
      <c r="N3916" t="n">
        <v>0</v>
      </c>
      <c r="O3916" t="n">
        <v>0</v>
      </c>
      <c r="P3916" t="n">
        <v>0</v>
      </c>
      <c r="Q3916" t="n">
        <v>0</v>
      </c>
      <c r="R3916" s="2" t="inlineStr"/>
    </row>
    <row r="3917" ht="15" customHeight="1">
      <c r="A3917" t="inlineStr">
        <is>
          <t>A 35071-2025</t>
        </is>
      </c>
      <c r="B3917" s="1" t="n">
        <v>45852.47094907407</v>
      </c>
      <c r="C3917" s="1" t="n">
        <v>45952</v>
      </c>
      <c r="D3917" t="inlineStr">
        <is>
          <t>ÖREBRO LÄN</t>
        </is>
      </c>
      <c r="E3917" t="inlineStr">
        <is>
          <t>LJUSNARSBERG</t>
        </is>
      </c>
      <c r="F3917" t="inlineStr">
        <is>
          <t>Kyrkan</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9411-2022</t>
        </is>
      </c>
      <c r="B3918" s="1" t="n">
        <v>44616</v>
      </c>
      <c r="C3918" s="1" t="n">
        <v>45952</v>
      </c>
      <c r="D3918" t="inlineStr">
        <is>
          <t>ÖREBRO LÄN</t>
        </is>
      </c>
      <c r="E3918" t="inlineStr">
        <is>
          <t>HÄLLEFORS</t>
        </is>
      </c>
      <c r="G3918" t="n">
        <v>2.4</v>
      </c>
      <c r="H3918" t="n">
        <v>0</v>
      </c>
      <c r="I3918" t="n">
        <v>0</v>
      </c>
      <c r="J3918" t="n">
        <v>0</v>
      </c>
      <c r="K3918" t="n">
        <v>0</v>
      </c>
      <c r="L3918" t="n">
        <v>0</v>
      </c>
      <c r="M3918" t="n">
        <v>0</v>
      </c>
      <c r="N3918" t="n">
        <v>0</v>
      </c>
      <c r="O3918" t="n">
        <v>0</v>
      </c>
      <c r="P3918" t="n">
        <v>0</v>
      </c>
      <c r="Q3918" t="n">
        <v>0</v>
      </c>
      <c r="R3918" s="2" t="inlineStr"/>
    </row>
    <row r="3919" ht="15" customHeight="1">
      <c r="A3919" t="inlineStr">
        <is>
          <t>A 17104-2024</t>
        </is>
      </c>
      <c r="B3919" s="1" t="n">
        <v>45412.54541666667</v>
      </c>
      <c r="C3919" s="1" t="n">
        <v>45952</v>
      </c>
      <c r="D3919" t="inlineStr">
        <is>
          <t>ÖREBRO LÄN</t>
        </is>
      </c>
      <c r="E3919" t="inlineStr">
        <is>
          <t>LINDESBERG</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2038-2025</t>
        </is>
      </c>
      <c r="B3920" s="1" t="n">
        <v>45672.49553240741</v>
      </c>
      <c r="C3920" s="1" t="n">
        <v>45952</v>
      </c>
      <c r="D3920" t="inlineStr">
        <is>
          <t>ÖREBRO LÄN</t>
        </is>
      </c>
      <c r="E3920" t="inlineStr">
        <is>
          <t>LEKEBERG</t>
        </is>
      </c>
      <c r="G3920" t="n">
        <v>2.5</v>
      </c>
      <c r="H3920" t="n">
        <v>0</v>
      </c>
      <c r="I3920" t="n">
        <v>0</v>
      </c>
      <c r="J3920" t="n">
        <v>0</v>
      </c>
      <c r="K3920" t="n">
        <v>0</v>
      </c>
      <c r="L3920" t="n">
        <v>0</v>
      </c>
      <c r="M3920" t="n">
        <v>0</v>
      </c>
      <c r="N3920" t="n">
        <v>0</v>
      </c>
      <c r="O3920" t="n">
        <v>0</v>
      </c>
      <c r="P3920" t="n">
        <v>0</v>
      </c>
      <c r="Q3920" t="n">
        <v>0</v>
      </c>
      <c r="R3920" s="2" t="inlineStr"/>
    </row>
    <row r="3921" ht="15" customHeight="1">
      <c r="A3921" t="inlineStr">
        <is>
          <t>A 2069-2025</t>
        </is>
      </c>
      <c r="B3921" s="1" t="n">
        <v>45672.56614583333</v>
      </c>
      <c r="C3921" s="1" t="n">
        <v>45952</v>
      </c>
      <c r="D3921" t="inlineStr">
        <is>
          <t>ÖREBRO LÄN</t>
        </is>
      </c>
      <c r="E3921" t="inlineStr">
        <is>
          <t>ÖREBRO</t>
        </is>
      </c>
      <c r="G3921" t="n">
        <v>3.8</v>
      </c>
      <c r="H3921" t="n">
        <v>0</v>
      </c>
      <c r="I3921" t="n">
        <v>0</v>
      </c>
      <c r="J3921" t="n">
        <v>0</v>
      </c>
      <c r="K3921" t="n">
        <v>0</v>
      </c>
      <c r="L3921" t="n">
        <v>0</v>
      </c>
      <c r="M3921" t="n">
        <v>0</v>
      </c>
      <c r="N3921" t="n">
        <v>0</v>
      </c>
      <c r="O3921" t="n">
        <v>0</v>
      </c>
      <c r="P3921" t="n">
        <v>0</v>
      </c>
      <c r="Q3921" t="n">
        <v>0</v>
      </c>
      <c r="R3921" s="2" t="inlineStr"/>
    </row>
    <row r="3922" ht="15" customHeight="1">
      <c r="A3922" t="inlineStr">
        <is>
          <t>A 1157-2025</t>
        </is>
      </c>
      <c r="B3922" s="1" t="n">
        <v>45666.75922453704</v>
      </c>
      <c r="C3922" s="1" t="n">
        <v>45952</v>
      </c>
      <c r="D3922" t="inlineStr">
        <is>
          <t>ÖREBRO LÄN</t>
        </is>
      </c>
      <c r="E3922" t="inlineStr">
        <is>
          <t>LEKEBERG</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57670-2024</t>
        </is>
      </c>
      <c r="B3923" s="1" t="n">
        <v>45630</v>
      </c>
      <c r="C3923" s="1" t="n">
        <v>45952</v>
      </c>
      <c r="D3923" t="inlineStr">
        <is>
          <t>ÖREBRO LÄN</t>
        </is>
      </c>
      <c r="E3923" t="inlineStr">
        <is>
          <t>LAXÅ</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31113-2023</t>
        </is>
      </c>
      <c r="B3924" s="1" t="n">
        <v>45113</v>
      </c>
      <c r="C3924" s="1" t="n">
        <v>45952</v>
      </c>
      <c r="D3924" t="inlineStr">
        <is>
          <t>ÖREBRO LÄN</t>
        </is>
      </c>
      <c r="E3924" t="inlineStr">
        <is>
          <t>LEKEBERG</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13350-2024</t>
        </is>
      </c>
      <c r="B3925" s="1" t="n">
        <v>45387.24732638889</v>
      </c>
      <c r="C3925" s="1" t="n">
        <v>45952</v>
      </c>
      <c r="D3925" t="inlineStr">
        <is>
          <t>ÖREBRO LÄN</t>
        </is>
      </c>
      <c r="E3925" t="inlineStr">
        <is>
          <t>LINDESBERG</t>
        </is>
      </c>
      <c r="G3925" t="n">
        <v>4.1</v>
      </c>
      <c r="H3925" t="n">
        <v>0</v>
      </c>
      <c r="I3925" t="n">
        <v>0</v>
      </c>
      <c r="J3925" t="n">
        <v>0</v>
      </c>
      <c r="K3925" t="n">
        <v>0</v>
      </c>
      <c r="L3925" t="n">
        <v>0</v>
      </c>
      <c r="M3925" t="n">
        <v>0</v>
      </c>
      <c r="N3925" t="n">
        <v>0</v>
      </c>
      <c r="O3925" t="n">
        <v>0</v>
      </c>
      <c r="P3925" t="n">
        <v>0</v>
      </c>
      <c r="Q3925" t="n">
        <v>0</v>
      </c>
      <c r="R3925" s="2" t="inlineStr"/>
    </row>
    <row r="3926" ht="15" customHeight="1">
      <c r="A3926" t="inlineStr">
        <is>
          <t>A 13351-2024</t>
        </is>
      </c>
      <c r="B3926" s="1" t="n">
        <v>45387.2521875</v>
      </c>
      <c r="C3926" s="1" t="n">
        <v>45952</v>
      </c>
      <c r="D3926" t="inlineStr">
        <is>
          <t>ÖREBRO LÄN</t>
        </is>
      </c>
      <c r="E3926" t="inlineStr">
        <is>
          <t>LINDESBERG</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54080-2024</t>
        </is>
      </c>
      <c r="B3927" s="1" t="n">
        <v>45616</v>
      </c>
      <c r="C3927" s="1" t="n">
        <v>45952</v>
      </c>
      <c r="D3927" t="inlineStr">
        <is>
          <t>ÖREBRO LÄN</t>
        </is>
      </c>
      <c r="E3927" t="inlineStr">
        <is>
          <t>KUMLA</t>
        </is>
      </c>
      <c r="G3927" t="n">
        <v>0.3</v>
      </c>
      <c r="H3927" t="n">
        <v>0</v>
      </c>
      <c r="I3927" t="n">
        <v>0</v>
      </c>
      <c r="J3927" t="n">
        <v>0</v>
      </c>
      <c r="K3927" t="n">
        <v>0</v>
      </c>
      <c r="L3927" t="n">
        <v>0</v>
      </c>
      <c r="M3927" t="n">
        <v>0</v>
      </c>
      <c r="N3927" t="n">
        <v>0</v>
      </c>
      <c r="O3927" t="n">
        <v>0</v>
      </c>
      <c r="P3927" t="n">
        <v>0</v>
      </c>
      <c r="Q3927" t="n">
        <v>0</v>
      </c>
      <c r="R3927" s="2" t="inlineStr"/>
    </row>
    <row r="3928" ht="15" customHeight="1">
      <c r="A3928" t="inlineStr">
        <is>
          <t>A 1681-2025</t>
        </is>
      </c>
      <c r="B3928" s="1" t="n">
        <v>45670.69458333333</v>
      </c>
      <c r="C3928" s="1" t="n">
        <v>45952</v>
      </c>
      <c r="D3928" t="inlineStr">
        <is>
          <t>ÖREBRO LÄN</t>
        </is>
      </c>
      <c r="E3928" t="inlineStr">
        <is>
          <t>LINDESBERG</t>
        </is>
      </c>
      <c r="G3928" t="n">
        <v>1.9</v>
      </c>
      <c r="H3928" t="n">
        <v>0</v>
      </c>
      <c r="I3928" t="n">
        <v>0</v>
      </c>
      <c r="J3928" t="n">
        <v>0</v>
      </c>
      <c r="K3928" t="n">
        <v>0</v>
      </c>
      <c r="L3928" t="n">
        <v>0</v>
      </c>
      <c r="M3928" t="n">
        <v>0</v>
      </c>
      <c r="N3928" t="n">
        <v>0</v>
      </c>
      <c r="O3928" t="n">
        <v>0</v>
      </c>
      <c r="P3928" t="n">
        <v>0</v>
      </c>
      <c r="Q3928" t="n">
        <v>0</v>
      </c>
      <c r="R3928" s="2" t="inlineStr"/>
    </row>
    <row r="3929" ht="15" customHeight="1">
      <c r="A3929" t="inlineStr">
        <is>
          <t>A 36670-2024</t>
        </is>
      </c>
      <c r="B3929" s="1" t="n">
        <v>45537.64621527777</v>
      </c>
      <c r="C3929" s="1" t="n">
        <v>45952</v>
      </c>
      <c r="D3929" t="inlineStr">
        <is>
          <t>ÖREBRO LÄN</t>
        </is>
      </c>
      <c r="E3929" t="inlineStr">
        <is>
          <t>LINDESBERG</t>
        </is>
      </c>
      <c r="F3929" t="inlineStr">
        <is>
          <t>Sveaskog</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56904-2024</t>
        </is>
      </c>
      <c r="B3930" s="1" t="n">
        <v>45628.58696759259</v>
      </c>
      <c r="C3930" s="1" t="n">
        <v>45952</v>
      </c>
      <c r="D3930" t="inlineStr">
        <is>
          <t>ÖREBRO LÄN</t>
        </is>
      </c>
      <c r="E3930" t="inlineStr">
        <is>
          <t>NORA</t>
        </is>
      </c>
      <c r="G3930" t="n">
        <v>8.9</v>
      </c>
      <c r="H3930" t="n">
        <v>0</v>
      </c>
      <c r="I3930" t="n">
        <v>0</v>
      </c>
      <c r="J3930" t="n">
        <v>0</v>
      </c>
      <c r="K3930" t="n">
        <v>0</v>
      </c>
      <c r="L3930" t="n">
        <v>0</v>
      </c>
      <c r="M3930" t="n">
        <v>0</v>
      </c>
      <c r="N3930" t="n">
        <v>0</v>
      </c>
      <c r="O3930" t="n">
        <v>0</v>
      </c>
      <c r="P3930" t="n">
        <v>0</v>
      </c>
      <c r="Q3930" t="n">
        <v>0</v>
      </c>
      <c r="R3930" s="2" t="inlineStr"/>
    </row>
    <row r="3931" ht="15" customHeight="1">
      <c r="A3931" t="inlineStr">
        <is>
          <t>A 40303-2024</t>
        </is>
      </c>
      <c r="B3931" s="1" t="n">
        <v>45554.7158912037</v>
      </c>
      <c r="C3931" s="1" t="n">
        <v>45952</v>
      </c>
      <c r="D3931" t="inlineStr">
        <is>
          <t>ÖREBRO LÄN</t>
        </is>
      </c>
      <c r="E3931" t="inlineStr">
        <is>
          <t>LINDESBERG</t>
        </is>
      </c>
      <c r="F3931" t="inlineStr">
        <is>
          <t>Sveaskog</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29229-2023</t>
        </is>
      </c>
      <c r="B3932" s="1" t="n">
        <v>45105.6140625</v>
      </c>
      <c r="C3932" s="1" t="n">
        <v>45952</v>
      </c>
      <c r="D3932" t="inlineStr">
        <is>
          <t>ÖREBRO LÄN</t>
        </is>
      </c>
      <c r="E3932" t="inlineStr">
        <is>
          <t>ASKERSUND</t>
        </is>
      </c>
      <c r="G3932" t="n">
        <v>3.2</v>
      </c>
      <c r="H3932" t="n">
        <v>0</v>
      </c>
      <c r="I3932" t="n">
        <v>0</v>
      </c>
      <c r="J3932" t="n">
        <v>0</v>
      </c>
      <c r="K3932" t="n">
        <v>0</v>
      </c>
      <c r="L3932" t="n">
        <v>0</v>
      </c>
      <c r="M3932" t="n">
        <v>0</v>
      </c>
      <c r="N3932" t="n">
        <v>0</v>
      </c>
      <c r="O3932" t="n">
        <v>0</v>
      </c>
      <c r="P3932" t="n">
        <v>0</v>
      </c>
      <c r="Q3932" t="n">
        <v>0</v>
      </c>
      <c r="R3932" s="2" t="inlineStr"/>
    </row>
    <row r="3933" ht="15" customHeight="1">
      <c r="A3933" t="inlineStr">
        <is>
          <t>A 33097-2023</t>
        </is>
      </c>
      <c r="B3933" s="1" t="n">
        <v>45126.54177083333</v>
      </c>
      <c r="C3933" s="1" t="n">
        <v>45952</v>
      </c>
      <c r="D3933" t="inlineStr">
        <is>
          <t>ÖREBRO LÄN</t>
        </is>
      </c>
      <c r="E3933" t="inlineStr">
        <is>
          <t>HALLSBERG</t>
        </is>
      </c>
      <c r="F3933" t="inlineStr">
        <is>
          <t>Sveaskog</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35366-2025</t>
        </is>
      </c>
      <c r="B3934" s="1" t="n">
        <v>45854</v>
      </c>
      <c r="C3934" s="1" t="n">
        <v>45952</v>
      </c>
      <c r="D3934" t="inlineStr">
        <is>
          <t>ÖREBRO LÄN</t>
        </is>
      </c>
      <c r="E3934" t="inlineStr">
        <is>
          <t>LINDESBERG</t>
        </is>
      </c>
      <c r="G3934" t="n">
        <v>5.5</v>
      </c>
      <c r="H3934" t="n">
        <v>0</v>
      </c>
      <c r="I3934" t="n">
        <v>0</v>
      </c>
      <c r="J3934" t="n">
        <v>0</v>
      </c>
      <c r="K3934" t="n">
        <v>0</v>
      </c>
      <c r="L3934" t="n">
        <v>0</v>
      </c>
      <c r="M3934" t="n">
        <v>0</v>
      </c>
      <c r="N3934" t="n">
        <v>0</v>
      </c>
      <c r="O3934" t="n">
        <v>0</v>
      </c>
      <c r="P3934" t="n">
        <v>0</v>
      </c>
      <c r="Q3934" t="n">
        <v>0</v>
      </c>
      <c r="R3934" s="2" t="inlineStr"/>
    </row>
    <row r="3935" ht="15" customHeight="1">
      <c r="A3935" t="inlineStr">
        <is>
          <t>A 57806-2021</t>
        </is>
      </c>
      <c r="B3935" s="1" t="n">
        <v>44484</v>
      </c>
      <c r="C3935" s="1" t="n">
        <v>45952</v>
      </c>
      <c r="D3935" t="inlineStr">
        <is>
          <t>ÖREBRO LÄN</t>
        </is>
      </c>
      <c r="E3935" t="inlineStr">
        <is>
          <t>LAXÅ</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8244-2025</t>
        </is>
      </c>
      <c r="B3936" s="1" t="n">
        <v>45708.4852662037</v>
      </c>
      <c r="C3936" s="1" t="n">
        <v>45952</v>
      </c>
      <c r="D3936" t="inlineStr">
        <is>
          <t>ÖREBRO LÄN</t>
        </is>
      </c>
      <c r="E3936" t="inlineStr">
        <is>
          <t>KARLSKOGA</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33944-2024</t>
        </is>
      </c>
      <c r="B3937" s="1" t="n">
        <v>45523</v>
      </c>
      <c r="C3937" s="1" t="n">
        <v>45952</v>
      </c>
      <c r="D3937" t="inlineStr">
        <is>
          <t>ÖREBRO LÄN</t>
        </is>
      </c>
      <c r="E3937" t="inlineStr">
        <is>
          <t>HÄLLEFORS</t>
        </is>
      </c>
      <c r="G3937" t="n">
        <v>5.9</v>
      </c>
      <c r="H3937" t="n">
        <v>0</v>
      </c>
      <c r="I3937" t="n">
        <v>0</v>
      </c>
      <c r="J3937" t="n">
        <v>0</v>
      </c>
      <c r="K3937" t="n">
        <v>0</v>
      </c>
      <c r="L3937" t="n">
        <v>0</v>
      </c>
      <c r="M3937" t="n">
        <v>0</v>
      </c>
      <c r="N3937" t="n">
        <v>0</v>
      </c>
      <c r="O3937" t="n">
        <v>0</v>
      </c>
      <c r="P3937" t="n">
        <v>0</v>
      </c>
      <c r="Q3937" t="n">
        <v>0</v>
      </c>
      <c r="R3937" s="2" t="inlineStr"/>
    </row>
    <row r="3938" ht="15" customHeight="1">
      <c r="A3938" t="inlineStr">
        <is>
          <t>A 40524-2024</t>
        </is>
      </c>
      <c r="B3938" s="1" t="n">
        <v>45555</v>
      </c>
      <c r="C3938" s="1" t="n">
        <v>45952</v>
      </c>
      <c r="D3938" t="inlineStr">
        <is>
          <t>ÖREBRO LÄN</t>
        </is>
      </c>
      <c r="E3938" t="inlineStr">
        <is>
          <t>LAXÅ</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35292-2025</t>
        </is>
      </c>
      <c r="B3939" s="1" t="n">
        <v>45854</v>
      </c>
      <c r="C3939" s="1" t="n">
        <v>45952</v>
      </c>
      <c r="D3939" t="inlineStr">
        <is>
          <t>ÖREBRO LÄN</t>
        </is>
      </c>
      <c r="E3939" t="inlineStr">
        <is>
          <t>LINDESBERG</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11489-2023</t>
        </is>
      </c>
      <c r="B3940" s="1" t="n">
        <v>44993.64357638889</v>
      </c>
      <c r="C3940" s="1" t="n">
        <v>45952</v>
      </c>
      <c r="D3940" t="inlineStr">
        <is>
          <t>ÖREBRO LÄN</t>
        </is>
      </c>
      <c r="E3940" t="inlineStr">
        <is>
          <t>ASKERSUND</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58143-2021</t>
        </is>
      </c>
      <c r="B3941" s="1" t="n">
        <v>44487</v>
      </c>
      <c r="C3941" s="1" t="n">
        <v>45952</v>
      </c>
      <c r="D3941" t="inlineStr">
        <is>
          <t>ÖREBRO LÄN</t>
        </is>
      </c>
      <c r="E3941" t="inlineStr">
        <is>
          <t>ASKERSUND</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41196-2023</t>
        </is>
      </c>
      <c r="B3942" s="1" t="n">
        <v>45174</v>
      </c>
      <c r="C3942" s="1" t="n">
        <v>45952</v>
      </c>
      <c r="D3942" t="inlineStr">
        <is>
          <t>ÖREBRO LÄN</t>
        </is>
      </c>
      <c r="E3942" t="inlineStr">
        <is>
          <t>HALLSBERG</t>
        </is>
      </c>
      <c r="F3942" t="inlineStr">
        <is>
          <t>Allmännings- och besparingsskogar</t>
        </is>
      </c>
      <c r="G3942" t="n">
        <v>3.6</v>
      </c>
      <c r="H3942" t="n">
        <v>0</v>
      </c>
      <c r="I3942" t="n">
        <v>0</v>
      </c>
      <c r="J3942" t="n">
        <v>0</v>
      </c>
      <c r="K3942" t="n">
        <v>0</v>
      </c>
      <c r="L3942" t="n">
        <v>0</v>
      </c>
      <c r="M3942" t="n">
        <v>0</v>
      </c>
      <c r="N3942" t="n">
        <v>0</v>
      </c>
      <c r="O3942" t="n">
        <v>0</v>
      </c>
      <c r="P3942" t="n">
        <v>0</v>
      </c>
      <c r="Q3942" t="n">
        <v>0</v>
      </c>
      <c r="R3942" s="2" t="inlineStr"/>
    </row>
    <row r="3943" ht="15" customHeight="1">
      <c r="A3943" t="inlineStr">
        <is>
          <t>A 58277-2022</t>
        </is>
      </c>
      <c r="B3943" s="1" t="n">
        <v>44901.48108796297</v>
      </c>
      <c r="C3943" s="1" t="n">
        <v>45952</v>
      </c>
      <c r="D3943" t="inlineStr">
        <is>
          <t>ÖREBRO LÄN</t>
        </is>
      </c>
      <c r="E3943" t="inlineStr">
        <is>
          <t>ÖREBRO</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7784-2024</t>
        </is>
      </c>
      <c r="B3944" s="1" t="n">
        <v>45349.60084490741</v>
      </c>
      <c r="C3944" s="1" t="n">
        <v>45952</v>
      </c>
      <c r="D3944" t="inlineStr">
        <is>
          <t>ÖREBRO LÄN</t>
        </is>
      </c>
      <c r="E3944" t="inlineStr">
        <is>
          <t>HALLSBERG</t>
        </is>
      </c>
      <c r="G3944" t="n">
        <v>3.8</v>
      </c>
      <c r="H3944" t="n">
        <v>0</v>
      </c>
      <c r="I3944" t="n">
        <v>0</v>
      </c>
      <c r="J3944" t="n">
        <v>0</v>
      </c>
      <c r="K3944" t="n">
        <v>0</v>
      </c>
      <c r="L3944" t="n">
        <v>0</v>
      </c>
      <c r="M3944" t="n">
        <v>0</v>
      </c>
      <c r="N3944" t="n">
        <v>0</v>
      </c>
      <c r="O3944" t="n">
        <v>0</v>
      </c>
      <c r="P3944" t="n">
        <v>0</v>
      </c>
      <c r="Q3944" t="n">
        <v>0</v>
      </c>
      <c r="R3944" s="2" t="inlineStr"/>
    </row>
    <row r="3945" ht="15" customHeight="1">
      <c r="A3945" t="inlineStr">
        <is>
          <t>A 7788-2024</t>
        </is>
      </c>
      <c r="B3945" s="1" t="n">
        <v>45349.60403935185</v>
      </c>
      <c r="C3945" s="1" t="n">
        <v>45952</v>
      </c>
      <c r="D3945" t="inlineStr">
        <is>
          <t>ÖREBRO LÄN</t>
        </is>
      </c>
      <c r="E3945" t="inlineStr">
        <is>
          <t>HALLSBERG</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32679-2025</t>
        </is>
      </c>
      <c r="B3946" s="1" t="n">
        <v>45838.78107638889</v>
      </c>
      <c r="C3946" s="1" t="n">
        <v>45952</v>
      </c>
      <c r="D3946" t="inlineStr">
        <is>
          <t>ÖREBRO LÄN</t>
        </is>
      </c>
      <c r="E3946" t="inlineStr">
        <is>
          <t>ASKERSUND</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34838-2023</t>
        </is>
      </c>
      <c r="B3947" s="1" t="n">
        <v>45141.76530092592</v>
      </c>
      <c r="C3947" s="1" t="n">
        <v>45952</v>
      </c>
      <c r="D3947" t="inlineStr">
        <is>
          <t>ÖREBRO LÄN</t>
        </is>
      </c>
      <c r="E3947" t="inlineStr">
        <is>
          <t>LINDESBERG</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42518-2021</t>
        </is>
      </c>
      <c r="B3948" s="1" t="n">
        <v>44427.81496527778</v>
      </c>
      <c r="C3948" s="1" t="n">
        <v>45952</v>
      </c>
      <c r="D3948" t="inlineStr">
        <is>
          <t>ÖREBRO LÄN</t>
        </is>
      </c>
      <c r="E3948" t="inlineStr">
        <is>
          <t>ÖREBRO</t>
        </is>
      </c>
      <c r="G3948" t="n">
        <v>4.5</v>
      </c>
      <c r="H3948" t="n">
        <v>0</v>
      </c>
      <c r="I3948" t="n">
        <v>0</v>
      </c>
      <c r="J3948" t="n">
        <v>0</v>
      </c>
      <c r="K3948" t="n">
        <v>0</v>
      </c>
      <c r="L3948" t="n">
        <v>0</v>
      </c>
      <c r="M3948" t="n">
        <v>0</v>
      </c>
      <c r="N3948" t="n">
        <v>0</v>
      </c>
      <c r="O3948" t="n">
        <v>0</v>
      </c>
      <c r="P3948" t="n">
        <v>0</v>
      </c>
      <c r="Q3948" t="n">
        <v>0</v>
      </c>
      <c r="R3948" s="2" t="inlineStr"/>
    </row>
    <row r="3949" ht="15" customHeight="1">
      <c r="A3949" t="inlineStr">
        <is>
          <t>A 15324-2024</t>
        </is>
      </c>
      <c r="B3949" s="1" t="n">
        <v>45400.66995370371</v>
      </c>
      <c r="C3949" s="1" t="n">
        <v>45952</v>
      </c>
      <c r="D3949" t="inlineStr">
        <is>
          <t>ÖREBRO LÄN</t>
        </is>
      </c>
      <c r="E3949" t="inlineStr">
        <is>
          <t>LINDESBERG</t>
        </is>
      </c>
      <c r="F3949" t="inlineStr">
        <is>
          <t>Sveaskog</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36170-2021</t>
        </is>
      </c>
      <c r="B3950" s="1" t="n">
        <v>44389</v>
      </c>
      <c r="C3950" s="1" t="n">
        <v>45952</v>
      </c>
      <c r="D3950" t="inlineStr">
        <is>
          <t>ÖREBRO LÄN</t>
        </is>
      </c>
      <c r="E3950" t="inlineStr">
        <is>
          <t>LINDESBERG</t>
        </is>
      </c>
      <c r="G3950" t="n">
        <v>0.4</v>
      </c>
      <c r="H3950" t="n">
        <v>0</v>
      </c>
      <c r="I3950" t="n">
        <v>0</v>
      </c>
      <c r="J3950" t="n">
        <v>0</v>
      </c>
      <c r="K3950" t="n">
        <v>0</v>
      </c>
      <c r="L3950" t="n">
        <v>0</v>
      </c>
      <c r="M3950" t="n">
        <v>0</v>
      </c>
      <c r="N3950" t="n">
        <v>0</v>
      </c>
      <c r="O3950" t="n">
        <v>0</v>
      </c>
      <c r="P3950" t="n">
        <v>0</v>
      </c>
      <c r="Q3950" t="n">
        <v>0</v>
      </c>
      <c r="R3950" s="2" t="inlineStr"/>
    </row>
    <row r="3951" ht="15" customHeight="1">
      <c r="A3951" t="inlineStr">
        <is>
          <t>A 43830-2024</t>
        </is>
      </c>
      <c r="B3951" s="1" t="n">
        <v>45572.31850694444</v>
      </c>
      <c r="C3951" s="1" t="n">
        <v>45952</v>
      </c>
      <c r="D3951" t="inlineStr">
        <is>
          <t>ÖREBRO LÄN</t>
        </is>
      </c>
      <c r="E3951" t="inlineStr">
        <is>
          <t>ASKERSUND</t>
        </is>
      </c>
      <c r="G3951" t="n">
        <v>2.6</v>
      </c>
      <c r="H3951" t="n">
        <v>0</v>
      </c>
      <c r="I3951" t="n">
        <v>0</v>
      </c>
      <c r="J3951" t="n">
        <v>0</v>
      </c>
      <c r="K3951" t="n">
        <v>0</v>
      </c>
      <c r="L3951" t="n">
        <v>0</v>
      </c>
      <c r="M3951" t="n">
        <v>0</v>
      </c>
      <c r="N3951" t="n">
        <v>0</v>
      </c>
      <c r="O3951" t="n">
        <v>0</v>
      </c>
      <c r="P3951" t="n">
        <v>0</v>
      </c>
      <c r="Q3951" t="n">
        <v>0</v>
      </c>
      <c r="R3951" s="2" t="inlineStr"/>
    </row>
    <row r="3952" ht="15" customHeight="1">
      <c r="A3952" t="inlineStr">
        <is>
          <t>A 28821-2025</t>
        </is>
      </c>
      <c r="B3952" s="1" t="n">
        <v>45820</v>
      </c>
      <c r="C3952" s="1" t="n">
        <v>45952</v>
      </c>
      <c r="D3952" t="inlineStr">
        <is>
          <t>ÖREBRO LÄN</t>
        </is>
      </c>
      <c r="E3952" t="inlineStr">
        <is>
          <t>ÖREBRO</t>
        </is>
      </c>
      <c r="G3952" t="n">
        <v>12.6</v>
      </c>
      <c r="H3952" t="n">
        <v>0</v>
      </c>
      <c r="I3952" t="n">
        <v>0</v>
      </c>
      <c r="J3952" t="n">
        <v>0</v>
      </c>
      <c r="K3952" t="n">
        <v>0</v>
      </c>
      <c r="L3952" t="n">
        <v>0</v>
      </c>
      <c r="M3952" t="n">
        <v>0</v>
      </c>
      <c r="N3952" t="n">
        <v>0</v>
      </c>
      <c r="O3952" t="n">
        <v>0</v>
      </c>
      <c r="P3952" t="n">
        <v>0</v>
      </c>
      <c r="Q3952" t="n">
        <v>0</v>
      </c>
      <c r="R3952" s="2" t="inlineStr"/>
    </row>
    <row r="3953" ht="15" customHeight="1">
      <c r="A3953" t="inlineStr">
        <is>
          <t>A 35706-2025</t>
        </is>
      </c>
      <c r="B3953" s="1" t="n">
        <v>45860.37125</v>
      </c>
      <c r="C3953" s="1" t="n">
        <v>45952</v>
      </c>
      <c r="D3953" t="inlineStr">
        <is>
          <t>ÖREBRO LÄN</t>
        </is>
      </c>
      <c r="E3953" t="inlineStr">
        <is>
          <t>DEGERFORS</t>
        </is>
      </c>
      <c r="G3953" t="n">
        <v>2.1</v>
      </c>
      <c r="H3953" t="n">
        <v>0</v>
      </c>
      <c r="I3953" t="n">
        <v>0</v>
      </c>
      <c r="J3953" t="n">
        <v>0</v>
      </c>
      <c r="K3953" t="n">
        <v>0</v>
      </c>
      <c r="L3953" t="n">
        <v>0</v>
      </c>
      <c r="M3953" t="n">
        <v>0</v>
      </c>
      <c r="N3953" t="n">
        <v>0</v>
      </c>
      <c r="O3953" t="n">
        <v>0</v>
      </c>
      <c r="P3953" t="n">
        <v>0</v>
      </c>
      <c r="Q3953" t="n">
        <v>0</v>
      </c>
      <c r="R3953" s="2" t="inlineStr"/>
    </row>
    <row r="3954" ht="15" customHeight="1">
      <c r="A3954" t="inlineStr">
        <is>
          <t>A 35710-2025</t>
        </is>
      </c>
      <c r="B3954" s="1" t="n">
        <v>45860.3857175926</v>
      </c>
      <c r="C3954" s="1" t="n">
        <v>45952</v>
      </c>
      <c r="D3954" t="inlineStr">
        <is>
          <t>ÖREBRO LÄN</t>
        </is>
      </c>
      <c r="E3954" t="inlineStr">
        <is>
          <t>LINDESBERG</t>
        </is>
      </c>
      <c r="G3954" t="n">
        <v>3.2</v>
      </c>
      <c r="H3954" t="n">
        <v>0</v>
      </c>
      <c r="I3954" t="n">
        <v>0</v>
      </c>
      <c r="J3954" t="n">
        <v>0</v>
      </c>
      <c r="K3954" t="n">
        <v>0</v>
      </c>
      <c r="L3954" t="n">
        <v>0</v>
      </c>
      <c r="M3954" t="n">
        <v>0</v>
      </c>
      <c r="N3954" t="n">
        <v>0</v>
      </c>
      <c r="O3954" t="n">
        <v>0</v>
      </c>
      <c r="P3954" t="n">
        <v>0</v>
      </c>
      <c r="Q3954" t="n">
        <v>0</v>
      </c>
      <c r="R3954" s="2" t="inlineStr"/>
    </row>
    <row r="3955" ht="15" customHeight="1">
      <c r="A3955" t="inlineStr">
        <is>
          <t>A 28537-2024</t>
        </is>
      </c>
      <c r="B3955" s="1" t="n">
        <v>45478.34296296296</v>
      </c>
      <c r="C3955" s="1" t="n">
        <v>45952</v>
      </c>
      <c r="D3955" t="inlineStr">
        <is>
          <t>ÖREBRO LÄN</t>
        </is>
      </c>
      <c r="E3955" t="inlineStr">
        <is>
          <t>HALLSBERG</t>
        </is>
      </c>
      <c r="F3955" t="inlineStr">
        <is>
          <t>Sveaskog</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28540-2024</t>
        </is>
      </c>
      <c r="B3956" s="1" t="n">
        <v>45478.34668981482</v>
      </c>
      <c r="C3956" s="1" t="n">
        <v>45952</v>
      </c>
      <c r="D3956" t="inlineStr">
        <is>
          <t>ÖREBRO LÄN</t>
        </is>
      </c>
      <c r="E3956" t="inlineStr">
        <is>
          <t>HALLSBERG</t>
        </is>
      </c>
      <c r="F3956" t="inlineStr">
        <is>
          <t>Sveaskog</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14524-2025</t>
        </is>
      </c>
      <c r="B3957" s="1" t="n">
        <v>45741.64815972222</v>
      </c>
      <c r="C3957" s="1" t="n">
        <v>45952</v>
      </c>
      <c r="D3957" t="inlineStr">
        <is>
          <t>ÖREBRO LÄN</t>
        </is>
      </c>
      <c r="E3957" t="inlineStr">
        <is>
          <t>ÖREBRO</t>
        </is>
      </c>
      <c r="G3957" t="n">
        <v>2.8</v>
      </c>
      <c r="H3957" t="n">
        <v>0</v>
      </c>
      <c r="I3957" t="n">
        <v>0</v>
      </c>
      <c r="J3957" t="n">
        <v>0</v>
      </c>
      <c r="K3957" t="n">
        <v>0</v>
      </c>
      <c r="L3957" t="n">
        <v>0</v>
      </c>
      <c r="M3957" t="n">
        <v>0</v>
      </c>
      <c r="N3957" t="n">
        <v>0</v>
      </c>
      <c r="O3957" t="n">
        <v>0</v>
      </c>
      <c r="P3957" t="n">
        <v>0</v>
      </c>
      <c r="Q3957" t="n">
        <v>0</v>
      </c>
      <c r="R3957" s="2" t="inlineStr"/>
    </row>
    <row r="3958" ht="15" customHeight="1">
      <c r="A3958" t="inlineStr">
        <is>
          <t>A 15338-2025</t>
        </is>
      </c>
      <c r="B3958" s="1" t="n">
        <v>45747.36502314815</v>
      </c>
      <c r="C3958" s="1" t="n">
        <v>45952</v>
      </c>
      <c r="D3958" t="inlineStr">
        <is>
          <t>ÖREBRO LÄN</t>
        </is>
      </c>
      <c r="E3958" t="inlineStr">
        <is>
          <t>LAXÅ</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38190-2024</t>
        </is>
      </c>
      <c r="B3959" s="1" t="n">
        <v>45545.49076388889</v>
      </c>
      <c r="C3959" s="1" t="n">
        <v>45952</v>
      </c>
      <c r="D3959" t="inlineStr">
        <is>
          <t>ÖREBRO LÄN</t>
        </is>
      </c>
      <c r="E3959" t="inlineStr">
        <is>
          <t>KARLSKOGA</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15380-2025</t>
        </is>
      </c>
      <c r="B3960" s="1" t="n">
        <v>45747.40925925926</v>
      </c>
      <c r="C3960" s="1" t="n">
        <v>45952</v>
      </c>
      <c r="D3960" t="inlineStr">
        <is>
          <t>ÖREBRO LÄN</t>
        </is>
      </c>
      <c r="E3960" t="inlineStr">
        <is>
          <t>LAXÅ</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35702-2025</t>
        </is>
      </c>
      <c r="B3961" s="1" t="n">
        <v>45860.36222222223</v>
      </c>
      <c r="C3961" s="1" t="n">
        <v>45952</v>
      </c>
      <c r="D3961" t="inlineStr">
        <is>
          <t>ÖREBRO LÄN</t>
        </is>
      </c>
      <c r="E3961" t="inlineStr">
        <is>
          <t>LINDESBERG</t>
        </is>
      </c>
      <c r="G3961" t="n">
        <v>5.3</v>
      </c>
      <c r="H3961" t="n">
        <v>0</v>
      </c>
      <c r="I3961" t="n">
        <v>0</v>
      </c>
      <c r="J3961" t="n">
        <v>0</v>
      </c>
      <c r="K3961" t="n">
        <v>0</v>
      </c>
      <c r="L3961" t="n">
        <v>0</v>
      </c>
      <c r="M3961" t="n">
        <v>0</v>
      </c>
      <c r="N3961" t="n">
        <v>0</v>
      </c>
      <c r="O3961" t="n">
        <v>0</v>
      </c>
      <c r="P3961" t="n">
        <v>0</v>
      </c>
      <c r="Q3961" t="n">
        <v>0</v>
      </c>
      <c r="R3961" s="2" t="inlineStr"/>
    </row>
    <row r="3962" ht="15" customHeight="1">
      <c r="A3962" t="inlineStr">
        <is>
          <t>A 7180-2023</t>
        </is>
      </c>
      <c r="B3962" s="1" t="n">
        <v>44970.51849537037</v>
      </c>
      <c r="C3962" s="1" t="n">
        <v>45952</v>
      </c>
      <c r="D3962" t="inlineStr">
        <is>
          <t>ÖREBRO LÄN</t>
        </is>
      </c>
      <c r="E3962" t="inlineStr">
        <is>
          <t>LINDESBERG</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20787-2022</t>
        </is>
      </c>
      <c r="B3963" s="1" t="n">
        <v>44701</v>
      </c>
      <c r="C3963" s="1" t="n">
        <v>45952</v>
      </c>
      <c r="D3963" t="inlineStr">
        <is>
          <t>ÖREBRO LÄN</t>
        </is>
      </c>
      <c r="E3963" t="inlineStr">
        <is>
          <t>LEKEBERG</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20797-2022</t>
        </is>
      </c>
      <c r="B3964" s="1" t="n">
        <v>44701</v>
      </c>
      <c r="C3964" s="1" t="n">
        <v>45952</v>
      </c>
      <c r="D3964" t="inlineStr">
        <is>
          <t>ÖREBRO LÄN</t>
        </is>
      </c>
      <c r="E3964" t="inlineStr">
        <is>
          <t>LJUSNARSBERG</t>
        </is>
      </c>
      <c r="F3964" t="inlineStr">
        <is>
          <t>Bergvik skog väst AB</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54679-2023</t>
        </is>
      </c>
      <c r="B3965" s="1" t="n">
        <v>45235.89943287037</v>
      </c>
      <c r="C3965" s="1" t="n">
        <v>45952</v>
      </c>
      <c r="D3965" t="inlineStr">
        <is>
          <t>ÖREBRO LÄN</t>
        </is>
      </c>
      <c r="E3965" t="inlineStr">
        <is>
          <t>HALLSBERG</t>
        </is>
      </c>
      <c r="F3965" t="inlineStr">
        <is>
          <t>Sveaskog</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35637-2025</t>
        </is>
      </c>
      <c r="B3966" s="1" t="n">
        <v>45859.46859953704</v>
      </c>
      <c r="C3966" s="1" t="n">
        <v>45952</v>
      </c>
      <c r="D3966" t="inlineStr">
        <is>
          <t>ÖREBRO LÄN</t>
        </is>
      </c>
      <c r="E3966" t="inlineStr">
        <is>
          <t>ÖREBRO</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11289-2023</t>
        </is>
      </c>
      <c r="B3967" s="1" t="n">
        <v>44992</v>
      </c>
      <c r="C3967" s="1" t="n">
        <v>45952</v>
      </c>
      <c r="D3967" t="inlineStr">
        <is>
          <t>ÖREBRO LÄN</t>
        </is>
      </c>
      <c r="E3967" t="inlineStr">
        <is>
          <t>LEKEBERG</t>
        </is>
      </c>
      <c r="F3967" t="inlineStr">
        <is>
          <t>Sveaskog</t>
        </is>
      </c>
      <c r="G3967" t="n">
        <v>2</v>
      </c>
      <c r="H3967" t="n">
        <v>0</v>
      </c>
      <c r="I3967" t="n">
        <v>0</v>
      </c>
      <c r="J3967" t="n">
        <v>0</v>
      </c>
      <c r="K3967" t="n">
        <v>0</v>
      </c>
      <c r="L3967" t="n">
        <v>0</v>
      </c>
      <c r="M3967" t="n">
        <v>0</v>
      </c>
      <c r="N3967" t="n">
        <v>0</v>
      </c>
      <c r="O3967" t="n">
        <v>0</v>
      </c>
      <c r="P3967" t="n">
        <v>0</v>
      </c>
      <c r="Q3967" t="n">
        <v>0</v>
      </c>
      <c r="R3967" s="2" t="inlineStr"/>
    </row>
    <row r="3968" ht="15" customHeight="1">
      <c r="A3968" t="inlineStr">
        <is>
          <t>A 45852-2023</t>
        </is>
      </c>
      <c r="B3968" s="1" t="n">
        <v>45195.59644675926</v>
      </c>
      <c r="C3968" s="1" t="n">
        <v>45952</v>
      </c>
      <c r="D3968" t="inlineStr">
        <is>
          <t>ÖREBRO LÄN</t>
        </is>
      </c>
      <c r="E3968" t="inlineStr">
        <is>
          <t>HALLSBERG</t>
        </is>
      </c>
      <c r="F3968" t="inlineStr">
        <is>
          <t>Allmännings- och besparingsskogar</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47304-2024</t>
        </is>
      </c>
      <c r="B3969" s="1" t="n">
        <v>45587</v>
      </c>
      <c r="C3969" s="1" t="n">
        <v>45952</v>
      </c>
      <c r="D3969" t="inlineStr">
        <is>
          <t>ÖREBRO LÄN</t>
        </is>
      </c>
      <c r="E3969" t="inlineStr">
        <is>
          <t>LINDESBERG</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46675-2023</t>
        </is>
      </c>
      <c r="B3970" s="1" t="n">
        <v>45194</v>
      </c>
      <c r="C3970" s="1" t="n">
        <v>45952</v>
      </c>
      <c r="D3970" t="inlineStr">
        <is>
          <t>ÖREBRO LÄN</t>
        </is>
      </c>
      <c r="E3970" t="inlineStr">
        <is>
          <t>LINDESBERG</t>
        </is>
      </c>
      <c r="G3970" t="n">
        <v>3.8</v>
      </c>
      <c r="H3970" t="n">
        <v>0</v>
      </c>
      <c r="I3970" t="n">
        <v>0</v>
      </c>
      <c r="J3970" t="n">
        <v>0</v>
      </c>
      <c r="K3970" t="n">
        <v>0</v>
      </c>
      <c r="L3970" t="n">
        <v>0</v>
      </c>
      <c r="M3970" t="n">
        <v>0</v>
      </c>
      <c r="N3970" t="n">
        <v>0</v>
      </c>
      <c r="O3970" t="n">
        <v>0</v>
      </c>
      <c r="P3970" t="n">
        <v>0</v>
      </c>
      <c r="Q3970" t="n">
        <v>0</v>
      </c>
      <c r="R3970" s="2" t="inlineStr"/>
    </row>
    <row r="3971" ht="15" customHeight="1">
      <c r="A3971" t="inlineStr">
        <is>
          <t>A 50964-2023</t>
        </is>
      </c>
      <c r="B3971" s="1" t="n">
        <v>45218.488125</v>
      </c>
      <c r="C3971" s="1" t="n">
        <v>45952</v>
      </c>
      <c r="D3971" t="inlineStr">
        <is>
          <t>ÖREBRO LÄN</t>
        </is>
      </c>
      <c r="E3971" t="inlineStr">
        <is>
          <t>LINDESBERG</t>
        </is>
      </c>
      <c r="F3971" t="inlineStr">
        <is>
          <t>Sveaskog</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15354-2024</t>
        </is>
      </c>
      <c r="B3972" s="1" t="n">
        <v>45400.85319444445</v>
      </c>
      <c r="C3972" s="1" t="n">
        <v>45952</v>
      </c>
      <c r="D3972" t="inlineStr">
        <is>
          <t>ÖREBRO LÄN</t>
        </is>
      </c>
      <c r="E3972" t="inlineStr">
        <is>
          <t>ÖREBRO</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43966-2024</t>
        </is>
      </c>
      <c r="B3973" s="1" t="n">
        <v>45572.48516203704</v>
      </c>
      <c r="C3973" s="1" t="n">
        <v>45952</v>
      </c>
      <c r="D3973" t="inlineStr">
        <is>
          <t>ÖREBRO LÄN</t>
        </is>
      </c>
      <c r="E3973" t="inlineStr">
        <is>
          <t>HÄLLEFORS</t>
        </is>
      </c>
      <c r="F3973" t="inlineStr">
        <is>
          <t>Bergvik skog väst AB</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41522-2024</t>
        </is>
      </c>
      <c r="B3974" s="1" t="n">
        <v>45560</v>
      </c>
      <c r="C3974" s="1" t="n">
        <v>45952</v>
      </c>
      <c r="D3974" t="inlineStr">
        <is>
          <t>ÖREBRO LÄN</t>
        </is>
      </c>
      <c r="E3974" t="inlineStr">
        <is>
          <t>LAXÅ</t>
        </is>
      </c>
      <c r="F3974" t="inlineStr">
        <is>
          <t>Sveaskog</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41528-2024</t>
        </is>
      </c>
      <c r="B3975" s="1" t="n">
        <v>45560</v>
      </c>
      <c r="C3975" s="1" t="n">
        <v>45952</v>
      </c>
      <c r="D3975" t="inlineStr">
        <is>
          <t>ÖREBRO LÄN</t>
        </is>
      </c>
      <c r="E3975" t="inlineStr">
        <is>
          <t>LAXÅ</t>
        </is>
      </c>
      <c r="F3975" t="inlineStr">
        <is>
          <t>Sveaskog</t>
        </is>
      </c>
      <c r="G3975" t="n">
        <v>3.7</v>
      </c>
      <c r="H3975" t="n">
        <v>0</v>
      </c>
      <c r="I3975" t="n">
        <v>0</v>
      </c>
      <c r="J3975" t="n">
        <v>0</v>
      </c>
      <c r="K3975" t="n">
        <v>0</v>
      </c>
      <c r="L3975" t="n">
        <v>0</v>
      </c>
      <c r="M3975" t="n">
        <v>0</v>
      </c>
      <c r="N3975" t="n">
        <v>0</v>
      </c>
      <c r="O3975" t="n">
        <v>0</v>
      </c>
      <c r="P3975" t="n">
        <v>0</v>
      </c>
      <c r="Q3975" t="n">
        <v>0</v>
      </c>
      <c r="R3975" s="2" t="inlineStr"/>
    </row>
    <row r="3976" ht="15" customHeight="1">
      <c r="A3976" t="inlineStr">
        <is>
          <t>A 41543-2024</t>
        </is>
      </c>
      <c r="B3976" s="1" t="n">
        <v>45560</v>
      </c>
      <c r="C3976" s="1" t="n">
        <v>45952</v>
      </c>
      <c r="D3976" t="inlineStr">
        <is>
          <t>ÖREBRO LÄN</t>
        </is>
      </c>
      <c r="E3976" t="inlineStr">
        <is>
          <t>ÖREBRO</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59560-2022</t>
        </is>
      </c>
      <c r="B3977" s="1" t="n">
        <v>44907.60194444445</v>
      </c>
      <c r="C3977" s="1" t="n">
        <v>45952</v>
      </c>
      <c r="D3977" t="inlineStr">
        <is>
          <t>ÖREBRO LÄN</t>
        </is>
      </c>
      <c r="E3977" t="inlineStr">
        <is>
          <t>ASKERSUND</t>
        </is>
      </c>
      <c r="F3977" t="inlineStr">
        <is>
          <t>Sveaskog</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50619-2022</t>
        </is>
      </c>
      <c r="B3978" s="1" t="n">
        <v>44866.79668981482</v>
      </c>
      <c r="C3978" s="1" t="n">
        <v>45952</v>
      </c>
      <c r="D3978" t="inlineStr">
        <is>
          <t>ÖREBRO LÄN</t>
        </is>
      </c>
      <c r="E3978" t="inlineStr">
        <is>
          <t>LINDESBERG</t>
        </is>
      </c>
      <c r="G3978" t="n">
        <v>1.4</v>
      </c>
      <c r="H3978" t="n">
        <v>0</v>
      </c>
      <c r="I3978" t="n">
        <v>0</v>
      </c>
      <c r="J3978" t="n">
        <v>0</v>
      </c>
      <c r="K3978" t="n">
        <v>0</v>
      </c>
      <c r="L3978" t="n">
        <v>0</v>
      </c>
      <c r="M3978" t="n">
        <v>0</v>
      </c>
      <c r="N3978" t="n">
        <v>0</v>
      </c>
      <c r="O3978" t="n">
        <v>0</v>
      </c>
      <c r="P3978" t="n">
        <v>0</v>
      </c>
      <c r="Q3978" t="n">
        <v>0</v>
      </c>
      <c r="R3978" s="2" t="inlineStr"/>
    </row>
    <row r="3979" ht="15" customHeight="1">
      <c r="A3979" t="inlineStr">
        <is>
          <t>A 66214-2020</t>
        </is>
      </c>
      <c r="B3979" s="1" t="n">
        <v>44175</v>
      </c>
      <c r="C3979" s="1" t="n">
        <v>45952</v>
      </c>
      <c r="D3979" t="inlineStr">
        <is>
          <t>ÖREBRO LÄN</t>
        </is>
      </c>
      <c r="E3979" t="inlineStr">
        <is>
          <t>LINDESBERG</t>
        </is>
      </c>
      <c r="G3979" t="n">
        <v>3.7</v>
      </c>
      <c r="H3979" t="n">
        <v>0</v>
      </c>
      <c r="I3979" t="n">
        <v>0</v>
      </c>
      <c r="J3979" t="n">
        <v>0</v>
      </c>
      <c r="K3979" t="n">
        <v>0</v>
      </c>
      <c r="L3979" t="n">
        <v>0</v>
      </c>
      <c r="M3979" t="n">
        <v>0</v>
      </c>
      <c r="N3979" t="n">
        <v>0</v>
      </c>
      <c r="O3979" t="n">
        <v>0</v>
      </c>
      <c r="P3979" t="n">
        <v>0</v>
      </c>
      <c r="Q3979" t="n">
        <v>0</v>
      </c>
      <c r="R3979" s="2" t="inlineStr"/>
    </row>
    <row r="3980" ht="15" customHeight="1">
      <c r="A3980" t="inlineStr">
        <is>
          <t>A 36893-2024</t>
        </is>
      </c>
      <c r="B3980" s="1" t="n">
        <v>45538</v>
      </c>
      <c r="C3980" s="1" t="n">
        <v>45952</v>
      </c>
      <c r="D3980" t="inlineStr">
        <is>
          <t>ÖREBRO LÄN</t>
        </is>
      </c>
      <c r="E3980" t="inlineStr">
        <is>
          <t>LINDESBERG</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63905-2021</t>
        </is>
      </c>
      <c r="B3981" s="1" t="n">
        <v>44509.65712962963</v>
      </c>
      <c r="C3981" s="1" t="n">
        <v>45952</v>
      </c>
      <c r="D3981" t="inlineStr">
        <is>
          <t>ÖREBRO LÄN</t>
        </is>
      </c>
      <c r="E3981" t="inlineStr">
        <is>
          <t>DEGERFORS</t>
        </is>
      </c>
      <c r="F3981" t="inlineStr">
        <is>
          <t>Sveaskog</t>
        </is>
      </c>
      <c r="G3981" t="n">
        <v>3.7</v>
      </c>
      <c r="H3981" t="n">
        <v>0</v>
      </c>
      <c r="I3981" t="n">
        <v>0</v>
      </c>
      <c r="J3981" t="n">
        <v>0</v>
      </c>
      <c r="K3981" t="n">
        <v>0</v>
      </c>
      <c r="L3981" t="n">
        <v>0</v>
      </c>
      <c r="M3981" t="n">
        <v>0</v>
      </c>
      <c r="N3981" t="n">
        <v>0</v>
      </c>
      <c r="O3981" t="n">
        <v>0</v>
      </c>
      <c r="P3981" t="n">
        <v>0</v>
      </c>
      <c r="Q3981" t="n">
        <v>0</v>
      </c>
      <c r="R3981" s="2" t="inlineStr"/>
    </row>
    <row r="3982" ht="15" customHeight="1">
      <c r="A3982" t="inlineStr">
        <is>
          <t>A 42443-2024</t>
        </is>
      </c>
      <c r="B3982" s="1" t="n">
        <v>45565</v>
      </c>
      <c r="C3982" s="1" t="n">
        <v>45952</v>
      </c>
      <c r="D3982" t="inlineStr">
        <is>
          <t>ÖREBRO LÄN</t>
        </is>
      </c>
      <c r="E3982" t="inlineStr">
        <is>
          <t>HALLSBERG</t>
        </is>
      </c>
      <c r="F3982" t="inlineStr">
        <is>
          <t>Sveaskog</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27735-2021</t>
        </is>
      </c>
      <c r="B3983" s="1" t="n">
        <v>44354.4771412037</v>
      </c>
      <c r="C3983" s="1" t="n">
        <v>45952</v>
      </c>
      <c r="D3983" t="inlineStr">
        <is>
          <t>ÖREBRO LÄN</t>
        </is>
      </c>
      <c r="E3983" t="inlineStr">
        <is>
          <t>KARLSKOGA</t>
        </is>
      </c>
      <c r="F3983" t="inlineStr">
        <is>
          <t>Sveaskog</t>
        </is>
      </c>
      <c r="G3983" t="n">
        <v>2.9</v>
      </c>
      <c r="H3983" t="n">
        <v>0</v>
      </c>
      <c r="I3983" t="n">
        <v>0</v>
      </c>
      <c r="J3983" t="n">
        <v>0</v>
      </c>
      <c r="K3983" t="n">
        <v>0</v>
      </c>
      <c r="L3983" t="n">
        <v>0</v>
      </c>
      <c r="M3983" t="n">
        <v>0</v>
      </c>
      <c r="N3983" t="n">
        <v>0</v>
      </c>
      <c r="O3983" t="n">
        <v>0</v>
      </c>
      <c r="P3983" t="n">
        <v>0</v>
      </c>
      <c r="Q3983" t="n">
        <v>0</v>
      </c>
      <c r="R3983" s="2" t="inlineStr"/>
    </row>
    <row r="3984" ht="15" customHeight="1">
      <c r="A3984" t="inlineStr">
        <is>
          <t>A 35928-2025</t>
        </is>
      </c>
      <c r="B3984" s="1" t="n">
        <v>45862</v>
      </c>
      <c r="C3984" s="1" t="n">
        <v>45952</v>
      </c>
      <c r="D3984" t="inlineStr">
        <is>
          <t>ÖREBRO LÄN</t>
        </is>
      </c>
      <c r="E3984" t="inlineStr">
        <is>
          <t>ÖREBRO</t>
        </is>
      </c>
      <c r="G3984" t="n">
        <v>4.4</v>
      </c>
      <c r="H3984" t="n">
        <v>0</v>
      </c>
      <c r="I3984" t="n">
        <v>0</v>
      </c>
      <c r="J3984" t="n">
        <v>0</v>
      </c>
      <c r="K3984" t="n">
        <v>0</v>
      </c>
      <c r="L3984" t="n">
        <v>0</v>
      </c>
      <c r="M3984" t="n">
        <v>0</v>
      </c>
      <c r="N3984" t="n">
        <v>0</v>
      </c>
      <c r="O3984" t="n">
        <v>0</v>
      </c>
      <c r="P3984" t="n">
        <v>0</v>
      </c>
      <c r="Q3984" t="n">
        <v>0</v>
      </c>
      <c r="R3984" s="2" t="inlineStr"/>
    </row>
    <row r="3985" ht="15" customHeight="1">
      <c r="A3985" t="inlineStr">
        <is>
          <t>A 45300-2024</t>
        </is>
      </c>
      <c r="B3985" s="1" t="n">
        <v>45576.40886574074</v>
      </c>
      <c r="C3985" s="1" t="n">
        <v>45952</v>
      </c>
      <c r="D3985" t="inlineStr">
        <is>
          <t>ÖREBRO LÄN</t>
        </is>
      </c>
      <c r="E3985" t="inlineStr">
        <is>
          <t>HALLSBERG</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35183-2023</t>
        </is>
      </c>
      <c r="B3986" s="1" t="n">
        <v>45145.59578703704</v>
      </c>
      <c r="C3986" s="1" t="n">
        <v>45952</v>
      </c>
      <c r="D3986" t="inlineStr">
        <is>
          <t>ÖREBRO LÄN</t>
        </is>
      </c>
      <c r="E3986" t="inlineStr">
        <is>
          <t>HÄLLEFORS</t>
        </is>
      </c>
      <c r="F3986" t="inlineStr">
        <is>
          <t>Bergvik skog väst AB</t>
        </is>
      </c>
      <c r="G3986" t="n">
        <v>6.6</v>
      </c>
      <c r="H3986" t="n">
        <v>0</v>
      </c>
      <c r="I3986" t="n">
        <v>0</v>
      </c>
      <c r="J3986" t="n">
        <v>0</v>
      </c>
      <c r="K3986" t="n">
        <v>0</v>
      </c>
      <c r="L3986" t="n">
        <v>0</v>
      </c>
      <c r="M3986" t="n">
        <v>0</v>
      </c>
      <c r="N3986" t="n">
        <v>0</v>
      </c>
      <c r="O3986" t="n">
        <v>0</v>
      </c>
      <c r="P3986" t="n">
        <v>0</v>
      </c>
      <c r="Q3986" t="n">
        <v>0</v>
      </c>
      <c r="R3986" s="2" t="inlineStr"/>
    </row>
    <row r="3987" ht="15" customHeight="1">
      <c r="A3987" t="inlineStr">
        <is>
          <t>A 35330-2021</t>
        </is>
      </c>
      <c r="B3987" s="1" t="n">
        <v>44384.81996527778</v>
      </c>
      <c r="C3987" s="1" t="n">
        <v>45952</v>
      </c>
      <c r="D3987" t="inlineStr">
        <is>
          <t>ÖREBRO LÄN</t>
        </is>
      </c>
      <c r="E3987" t="inlineStr">
        <is>
          <t>NORA</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52707-2023</t>
        </is>
      </c>
      <c r="B3988" s="1" t="n">
        <v>45225.8415625</v>
      </c>
      <c r="C3988" s="1" t="n">
        <v>45952</v>
      </c>
      <c r="D3988" t="inlineStr">
        <is>
          <t>ÖREBRO LÄN</t>
        </is>
      </c>
      <c r="E3988" t="inlineStr">
        <is>
          <t>HALLSBERG</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36292-2025</t>
        </is>
      </c>
      <c r="B3989" s="1" t="n">
        <v>45867</v>
      </c>
      <c r="C3989" s="1" t="n">
        <v>45952</v>
      </c>
      <c r="D3989" t="inlineStr">
        <is>
          <t>ÖREBRO LÄN</t>
        </is>
      </c>
      <c r="E3989" t="inlineStr">
        <is>
          <t>HALLSBERG</t>
        </is>
      </c>
      <c r="F3989" t="inlineStr">
        <is>
          <t>Sveaskog</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71275-2021</t>
        </is>
      </c>
      <c r="B3990" s="1" t="n">
        <v>44539</v>
      </c>
      <c r="C3990" s="1" t="n">
        <v>45952</v>
      </c>
      <c r="D3990" t="inlineStr">
        <is>
          <t>ÖREBRO LÄN</t>
        </is>
      </c>
      <c r="E3990" t="inlineStr">
        <is>
          <t>ÖREBRO</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71285-2021</t>
        </is>
      </c>
      <c r="B3991" s="1" t="n">
        <v>44539.62236111111</v>
      </c>
      <c r="C3991" s="1" t="n">
        <v>45952</v>
      </c>
      <c r="D3991" t="inlineStr">
        <is>
          <t>ÖREBRO LÄN</t>
        </is>
      </c>
      <c r="E3991" t="inlineStr">
        <is>
          <t>ÖREBRO</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40126-2021</t>
        </is>
      </c>
      <c r="B3992" s="1" t="n">
        <v>44418</v>
      </c>
      <c r="C3992" s="1" t="n">
        <v>45952</v>
      </c>
      <c r="D3992" t="inlineStr">
        <is>
          <t>ÖREBRO LÄN</t>
        </is>
      </c>
      <c r="E3992" t="inlineStr">
        <is>
          <t>NORA</t>
        </is>
      </c>
      <c r="G3992" t="n">
        <v>4.2</v>
      </c>
      <c r="H3992" t="n">
        <v>0</v>
      </c>
      <c r="I3992" t="n">
        <v>0</v>
      </c>
      <c r="J3992" t="n">
        <v>0</v>
      </c>
      <c r="K3992" t="n">
        <v>0</v>
      </c>
      <c r="L3992" t="n">
        <v>0</v>
      </c>
      <c r="M3992" t="n">
        <v>0</v>
      </c>
      <c r="N3992" t="n">
        <v>0</v>
      </c>
      <c r="O3992" t="n">
        <v>0</v>
      </c>
      <c r="P3992" t="n">
        <v>0</v>
      </c>
      <c r="Q3992" t="n">
        <v>0</v>
      </c>
      <c r="R3992" s="2" t="inlineStr"/>
    </row>
    <row r="3993" ht="15" customHeight="1">
      <c r="A3993" t="inlineStr">
        <is>
          <t>A 36253-2024</t>
        </is>
      </c>
      <c r="B3993" s="1" t="n">
        <v>45534.54032407407</v>
      </c>
      <c r="C3993" s="1" t="n">
        <v>45952</v>
      </c>
      <c r="D3993" t="inlineStr">
        <is>
          <t>ÖREBRO LÄN</t>
        </is>
      </c>
      <c r="E3993" t="inlineStr">
        <is>
          <t>LINDESBERG</t>
        </is>
      </c>
      <c r="F3993" t="inlineStr">
        <is>
          <t>Sveaskog</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2658-2023</t>
        </is>
      </c>
      <c r="B3994" s="1" t="n">
        <v>44944</v>
      </c>
      <c r="C3994" s="1" t="n">
        <v>45952</v>
      </c>
      <c r="D3994" t="inlineStr">
        <is>
          <t>ÖREBRO LÄN</t>
        </is>
      </c>
      <c r="E3994" t="inlineStr">
        <is>
          <t>ÖREBRO</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32025-2024</t>
        </is>
      </c>
      <c r="B3995" s="1" t="n">
        <v>45510.65754629629</v>
      </c>
      <c r="C3995" s="1" t="n">
        <v>45952</v>
      </c>
      <c r="D3995" t="inlineStr">
        <is>
          <t>ÖREBRO LÄN</t>
        </is>
      </c>
      <c r="E3995" t="inlineStr">
        <is>
          <t>ÖREBRO</t>
        </is>
      </c>
      <c r="G3995" t="n">
        <v>4</v>
      </c>
      <c r="H3995" t="n">
        <v>0</v>
      </c>
      <c r="I3995" t="n">
        <v>0</v>
      </c>
      <c r="J3995" t="n">
        <v>0</v>
      </c>
      <c r="K3995" t="n">
        <v>0</v>
      </c>
      <c r="L3995" t="n">
        <v>0</v>
      </c>
      <c r="M3995" t="n">
        <v>0</v>
      </c>
      <c r="N3995" t="n">
        <v>0</v>
      </c>
      <c r="O3995" t="n">
        <v>0</v>
      </c>
      <c r="P3995" t="n">
        <v>0</v>
      </c>
      <c r="Q3995" t="n">
        <v>0</v>
      </c>
      <c r="R3995" s="2" t="inlineStr"/>
    </row>
    <row r="3996" ht="15" customHeight="1">
      <c r="A3996" t="inlineStr">
        <is>
          <t>A 12008-2025</t>
        </is>
      </c>
      <c r="B3996" s="1" t="n">
        <v>45728.61679398148</v>
      </c>
      <c r="C3996" s="1" t="n">
        <v>45952</v>
      </c>
      <c r="D3996" t="inlineStr">
        <is>
          <t>ÖREBRO LÄN</t>
        </is>
      </c>
      <c r="E3996" t="inlineStr">
        <is>
          <t>HALLSBERG</t>
        </is>
      </c>
      <c r="F3996" t="inlineStr">
        <is>
          <t>Sveaskog</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36089-2025</t>
        </is>
      </c>
      <c r="B3997" s="1" t="n">
        <v>45866</v>
      </c>
      <c r="C3997" s="1" t="n">
        <v>45952</v>
      </c>
      <c r="D3997" t="inlineStr">
        <is>
          <t>ÖREBRO LÄN</t>
        </is>
      </c>
      <c r="E3997" t="inlineStr">
        <is>
          <t>NORA</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36291-2025</t>
        </is>
      </c>
      <c r="B3998" s="1" t="n">
        <v>45867</v>
      </c>
      <c r="C3998" s="1" t="n">
        <v>45952</v>
      </c>
      <c r="D3998" t="inlineStr">
        <is>
          <t>ÖREBRO LÄN</t>
        </is>
      </c>
      <c r="E3998" t="inlineStr">
        <is>
          <t>HALLSBERG</t>
        </is>
      </c>
      <c r="F3998" t="inlineStr">
        <is>
          <t>Sveaskog</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38743-2022</t>
        </is>
      </c>
      <c r="B3999" s="1" t="n">
        <v>44816.34265046296</v>
      </c>
      <c r="C3999" s="1" t="n">
        <v>45952</v>
      </c>
      <c r="D3999" t="inlineStr">
        <is>
          <t>ÖREBRO LÄN</t>
        </is>
      </c>
      <c r="E3999" t="inlineStr">
        <is>
          <t>DEGERFORS</t>
        </is>
      </c>
      <c r="F3999" t="inlineStr">
        <is>
          <t>Sveaskog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122-2025</t>
        </is>
      </c>
      <c r="B4000" s="1" t="n">
        <v>45659.54782407408</v>
      </c>
      <c r="C4000" s="1" t="n">
        <v>45952</v>
      </c>
      <c r="D4000" t="inlineStr">
        <is>
          <t>ÖREBRO LÄN</t>
        </is>
      </c>
      <c r="E4000" t="inlineStr">
        <is>
          <t>LJUSNARSBERG</t>
        </is>
      </c>
      <c r="G4000" t="n">
        <v>6.5</v>
      </c>
      <c r="H4000" t="n">
        <v>0</v>
      </c>
      <c r="I4000" t="n">
        <v>0</v>
      </c>
      <c r="J4000" t="n">
        <v>0</v>
      </c>
      <c r="K4000" t="n">
        <v>0</v>
      </c>
      <c r="L4000" t="n">
        <v>0</v>
      </c>
      <c r="M4000" t="n">
        <v>0</v>
      </c>
      <c r="N4000" t="n">
        <v>0</v>
      </c>
      <c r="O4000" t="n">
        <v>0</v>
      </c>
      <c r="P4000" t="n">
        <v>0</v>
      </c>
      <c r="Q4000" t="n">
        <v>0</v>
      </c>
      <c r="R4000" s="2" t="inlineStr"/>
    </row>
    <row r="4001" ht="15" customHeight="1">
      <c r="A4001" t="inlineStr">
        <is>
          <t>A 5256-2025</t>
        </is>
      </c>
      <c r="B4001" s="1" t="n">
        <v>45692.36032407408</v>
      </c>
      <c r="C4001" s="1" t="n">
        <v>45952</v>
      </c>
      <c r="D4001" t="inlineStr">
        <is>
          <t>ÖREBRO LÄN</t>
        </is>
      </c>
      <c r="E4001" t="inlineStr">
        <is>
          <t>HÄLLEFORS</t>
        </is>
      </c>
      <c r="F4001" t="inlineStr">
        <is>
          <t>Bergvik skog väst AB</t>
        </is>
      </c>
      <c r="G4001" t="n">
        <v>6.3</v>
      </c>
      <c r="H4001" t="n">
        <v>0</v>
      </c>
      <c r="I4001" t="n">
        <v>0</v>
      </c>
      <c r="J4001" t="n">
        <v>0</v>
      </c>
      <c r="K4001" t="n">
        <v>0</v>
      </c>
      <c r="L4001" t="n">
        <v>0</v>
      </c>
      <c r="M4001" t="n">
        <v>0</v>
      </c>
      <c r="N4001" t="n">
        <v>0</v>
      </c>
      <c r="O4001" t="n">
        <v>0</v>
      </c>
      <c r="P4001" t="n">
        <v>0</v>
      </c>
      <c r="Q4001" t="n">
        <v>0</v>
      </c>
      <c r="R4001" s="2" t="inlineStr"/>
    </row>
    <row r="4002" ht="15" customHeight="1">
      <c r="A4002" t="inlineStr">
        <is>
          <t>A 36294-2025</t>
        </is>
      </c>
      <c r="B4002" s="1" t="n">
        <v>45867.67050925926</v>
      </c>
      <c r="C4002" s="1" t="n">
        <v>45952</v>
      </c>
      <c r="D4002" t="inlineStr">
        <is>
          <t>ÖREBRO LÄN</t>
        </is>
      </c>
      <c r="E4002" t="inlineStr">
        <is>
          <t>HALLSBERG</t>
        </is>
      </c>
      <c r="F4002" t="inlineStr">
        <is>
          <t>Sveaskog</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36283-2025</t>
        </is>
      </c>
      <c r="B4003" s="1" t="n">
        <v>45867</v>
      </c>
      <c r="C4003" s="1" t="n">
        <v>45952</v>
      </c>
      <c r="D4003" t="inlineStr">
        <is>
          <t>ÖREBRO LÄN</t>
        </is>
      </c>
      <c r="E4003" t="inlineStr">
        <is>
          <t>ASKERSUND</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13415-2025</t>
        </is>
      </c>
      <c r="B4004" s="1" t="n">
        <v>45736.28094907408</v>
      </c>
      <c r="C4004" s="1" t="n">
        <v>45952</v>
      </c>
      <c r="D4004" t="inlineStr">
        <is>
          <t>ÖREBRO LÄN</t>
        </is>
      </c>
      <c r="E4004" t="inlineStr">
        <is>
          <t>DEGERFORS</t>
        </is>
      </c>
      <c r="F4004" t="inlineStr">
        <is>
          <t>Sveaskog</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55453-2024</t>
        </is>
      </c>
      <c r="B4005" s="1" t="n">
        <v>45622.42097222222</v>
      </c>
      <c r="C4005" s="1" t="n">
        <v>45952</v>
      </c>
      <c r="D4005" t="inlineStr">
        <is>
          <t>ÖREBRO LÄN</t>
        </is>
      </c>
      <c r="E4005" t="inlineStr">
        <is>
          <t>ÖREBRO</t>
        </is>
      </c>
      <c r="G4005" t="n">
        <v>8.5</v>
      </c>
      <c r="H4005" t="n">
        <v>0</v>
      </c>
      <c r="I4005" t="n">
        <v>0</v>
      </c>
      <c r="J4005" t="n">
        <v>0</v>
      </c>
      <c r="K4005" t="n">
        <v>0</v>
      </c>
      <c r="L4005" t="n">
        <v>0</v>
      </c>
      <c r="M4005" t="n">
        <v>0</v>
      </c>
      <c r="N4005" t="n">
        <v>0</v>
      </c>
      <c r="O4005" t="n">
        <v>0</v>
      </c>
      <c r="P4005" t="n">
        <v>0</v>
      </c>
      <c r="Q4005" t="n">
        <v>0</v>
      </c>
      <c r="R4005" s="2" t="inlineStr"/>
    </row>
    <row r="4006" ht="15" customHeight="1">
      <c r="A4006" t="inlineStr">
        <is>
          <t>A 18134-2021</t>
        </is>
      </c>
      <c r="B4006" s="1" t="n">
        <v>44302</v>
      </c>
      <c r="C4006" s="1" t="n">
        <v>45952</v>
      </c>
      <c r="D4006" t="inlineStr">
        <is>
          <t>ÖREBRO LÄN</t>
        </is>
      </c>
      <c r="E4006" t="inlineStr">
        <is>
          <t>NORA</t>
        </is>
      </c>
      <c r="G4006" t="n">
        <v>16.8</v>
      </c>
      <c r="H4006" t="n">
        <v>0</v>
      </c>
      <c r="I4006" t="n">
        <v>0</v>
      </c>
      <c r="J4006" t="n">
        <v>0</v>
      </c>
      <c r="K4006" t="n">
        <v>0</v>
      </c>
      <c r="L4006" t="n">
        <v>0</v>
      </c>
      <c r="M4006" t="n">
        <v>0</v>
      </c>
      <c r="N4006" t="n">
        <v>0</v>
      </c>
      <c r="O4006" t="n">
        <v>0</v>
      </c>
      <c r="P4006" t="n">
        <v>0</v>
      </c>
      <c r="Q4006" t="n">
        <v>0</v>
      </c>
      <c r="R4006" s="2" t="inlineStr"/>
    </row>
    <row r="4007" ht="15" customHeight="1">
      <c r="A4007" t="inlineStr">
        <is>
          <t>A 22137-2022</t>
        </is>
      </c>
      <c r="B4007" s="1" t="n">
        <v>44712</v>
      </c>
      <c r="C4007" s="1" t="n">
        <v>45952</v>
      </c>
      <c r="D4007" t="inlineStr">
        <is>
          <t>ÖREBRO LÄN</t>
        </is>
      </c>
      <c r="E4007" t="inlineStr">
        <is>
          <t>LEKEBERG</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30610-2024</t>
        </is>
      </c>
      <c r="B4008" s="1" t="n">
        <v>45495.3559375</v>
      </c>
      <c r="C4008" s="1" t="n">
        <v>45952</v>
      </c>
      <c r="D4008" t="inlineStr">
        <is>
          <t>ÖREBRO LÄN</t>
        </is>
      </c>
      <c r="E4008" t="inlineStr">
        <is>
          <t>ASKERSUND</t>
        </is>
      </c>
      <c r="G4008" t="n">
        <v>8.800000000000001</v>
      </c>
      <c r="H4008" t="n">
        <v>0</v>
      </c>
      <c r="I4008" t="n">
        <v>0</v>
      </c>
      <c r="J4008" t="n">
        <v>0</v>
      </c>
      <c r="K4008" t="n">
        <v>0</v>
      </c>
      <c r="L4008" t="n">
        <v>0</v>
      </c>
      <c r="M4008" t="n">
        <v>0</v>
      </c>
      <c r="N4008" t="n">
        <v>0</v>
      </c>
      <c r="O4008" t="n">
        <v>0</v>
      </c>
      <c r="P4008" t="n">
        <v>0</v>
      </c>
      <c r="Q4008" t="n">
        <v>0</v>
      </c>
      <c r="R4008" s="2" t="inlineStr"/>
    </row>
    <row r="4009" ht="15" customHeight="1">
      <c r="A4009" t="inlineStr">
        <is>
          <t>A 43396-2025</t>
        </is>
      </c>
      <c r="B4009" s="1" t="n">
        <v>45911.37391203704</v>
      </c>
      <c r="C4009" s="1" t="n">
        <v>45952</v>
      </c>
      <c r="D4009" t="inlineStr">
        <is>
          <t>ÖREBRO LÄN</t>
        </is>
      </c>
      <c r="E4009" t="inlineStr">
        <is>
          <t>HALLSBERG</t>
        </is>
      </c>
      <c r="F4009" t="inlineStr">
        <is>
          <t>Sveaskog</t>
        </is>
      </c>
      <c r="G4009" t="n">
        <v>4.7</v>
      </c>
      <c r="H4009" t="n">
        <v>0</v>
      </c>
      <c r="I4009" t="n">
        <v>0</v>
      </c>
      <c r="J4009" t="n">
        <v>0</v>
      </c>
      <c r="K4009" t="n">
        <v>0</v>
      </c>
      <c r="L4009" t="n">
        <v>0</v>
      </c>
      <c r="M4009" t="n">
        <v>0</v>
      </c>
      <c r="N4009" t="n">
        <v>0</v>
      </c>
      <c r="O4009" t="n">
        <v>0</v>
      </c>
      <c r="P4009" t="n">
        <v>0</v>
      </c>
      <c r="Q4009" t="n">
        <v>0</v>
      </c>
      <c r="R4009" s="2" t="inlineStr"/>
    </row>
    <row r="4010" ht="15" customHeight="1">
      <c r="A4010" t="inlineStr">
        <is>
          <t>A 43380-2025</t>
        </is>
      </c>
      <c r="B4010" s="1" t="n">
        <v>45911.3615162037</v>
      </c>
      <c r="C4010" s="1" t="n">
        <v>45952</v>
      </c>
      <c r="D4010" t="inlineStr">
        <is>
          <t>ÖREBRO LÄN</t>
        </is>
      </c>
      <c r="E4010" t="inlineStr">
        <is>
          <t>HALLSBERG</t>
        </is>
      </c>
      <c r="F4010" t="inlineStr">
        <is>
          <t>Sveaskog</t>
        </is>
      </c>
      <c r="G4010" t="n">
        <v>9.4</v>
      </c>
      <c r="H4010" t="n">
        <v>0</v>
      </c>
      <c r="I4010" t="n">
        <v>0</v>
      </c>
      <c r="J4010" t="n">
        <v>0</v>
      </c>
      <c r="K4010" t="n">
        <v>0</v>
      </c>
      <c r="L4010" t="n">
        <v>0</v>
      </c>
      <c r="M4010" t="n">
        <v>0</v>
      </c>
      <c r="N4010" t="n">
        <v>0</v>
      </c>
      <c r="O4010" t="n">
        <v>0</v>
      </c>
      <c r="P4010" t="n">
        <v>0</v>
      </c>
      <c r="Q4010" t="n">
        <v>0</v>
      </c>
      <c r="R4010" s="2" t="inlineStr"/>
    </row>
    <row r="4011" ht="15" customHeight="1">
      <c r="A4011" t="inlineStr">
        <is>
          <t>A 30514-2025</t>
        </is>
      </c>
      <c r="B4011" s="1" t="n">
        <v>45831</v>
      </c>
      <c r="C4011" s="1" t="n">
        <v>45952</v>
      </c>
      <c r="D4011" t="inlineStr">
        <is>
          <t>ÖREBRO LÄN</t>
        </is>
      </c>
      <c r="E4011" t="inlineStr">
        <is>
          <t>LINDESBERG</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34026-2022</t>
        </is>
      </c>
      <c r="B4012" s="1" t="n">
        <v>44791.32811342592</v>
      </c>
      <c r="C4012" s="1" t="n">
        <v>45952</v>
      </c>
      <c r="D4012" t="inlineStr">
        <is>
          <t>ÖREBRO LÄN</t>
        </is>
      </c>
      <c r="E4012" t="inlineStr">
        <is>
          <t>NORA</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17045-2025</t>
        </is>
      </c>
      <c r="B4013" s="1" t="n">
        <v>45755.59307870371</v>
      </c>
      <c r="C4013" s="1" t="n">
        <v>45952</v>
      </c>
      <c r="D4013" t="inlineStr">
        <is>
          <t>ÖREBRO LÄN</t>
        </is>
      </c>
      <c r="E4013" t="inlineStr">
        <is>
          <t>HÄLLEFORS</t>
        </is>
      </c>
      <c r="F4013" t="inlineStr">
        <is>
          <t>Bergvik skog väst AB</t>
        </is>
      </c>
      <c r="G4013" t="n">
        <v>4.8</v>
      </c>
      <c r="H4013" t="n">
        <v>0</v>
      </c>
      <c r="I4013" t="n">
        <v>0</v>
      </c>
      <c r="J4013" t="n">
        <v>0</v>
      </c>
      <c r="K4013" t="n">
        <v>0</v>
      </c>
      <c r="L4013" t="n">
        <v>0</v>
      </c>
      <c r="M4013" t="n">
        <v>0</v>
      </c>
      <c r="N4013" t="n">
        <v>0</v>
      </c>
      <c r="O4013" t="n">
        <v>0</v>
      </c>
      <c r="P4013" t="n">
        <v>0</v>
      </c>
      <c r="Q4013" t="n">
        <v>0</v>
      </c>
      <c r="R4013" s="2" t="inlineStr"/>
    </row>
    <row r="4014" ht="15" customHeight="1">
      <c r="A4014" t="inlineStr">
        <is>
          <t>A 36425-2025</t>
        </is>
      </c>
      <c r="B4014" s="1" t="n">
        <v>45868</v>
      </c>
      <c r="C4014" s="1" t="n">
        <v>45952</v>
      </c>
      <c r="D4014" t="inlineStr">
        <is>
          <t>ÖREBRO LÄN</t>
        </is>
      </c>
      <c r="E4014" t="inlineStr">
        <is>
          <t>LJUSNARSBERG</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36448-2025</t>
        </is>
      </c>
      <c r="B4015" s="1" t="n">
        <v>45869.41929398148</v>
      </c>
      <c r="C4015" s="1" t="n">
        <v>45952</v>
      </c>
      <c r="D4015" t="inlineStr">
        <is>
          <t>ÖREBRO LÄN</t>
        </is>
      </c>
      <c r="E4015" t="inlineStr">
        <is>
          <t>ÖREBRO</t>
        </is>
      </c>
      <c r="F4015" t="inlineStr">
        <is>
          <t>Övriga Aktiebolag</t>
        </is>
      </c>
      <c r="G4015" t="n">
        <v>4.3</v>
      </c>
      <c r="H4015" t="n">
        <v>0</v>
      </c>
      <c r="I4015" t="n">
        <v>0</v>
      </c>
      <c r="J4015" t="n">
        <v>0</v>
      </c>
      <c r="K4015" t="n">
        <v>0</v>
      </c>
      <c r="L4015" t="n">
        <v>0</v>
      </c>
      <c r="M4015" t="n">
        <v>0</v>
      </c>
      <c r="N4015" t="n">
        <v>0</v>
      </c>
      <c r="O4015" t="n">
        <v>0</v>
      </c>
      <c r="P4015" t="n">
        <v>0</v>
      </c>
      <c r="Q4015" t="n">
        <v>0</v>
      </c>
      <c r="R4015" s="2" t="inlineStr"/>
    </row>
    <row r="4016" ht="15" customHeight="1">
      <c r="A4016" t="inlineStr">
        <is>
          <t>A 43397-2025</t>
        </is>
      </c>
      <c r="B4016" s="1" t="n">
        <v>45911.37444444445</v>
      </c>
      <c r="C4016" s="1" t="n">
        <v>45952</v>
      </c>
      <c r="D4016" t="inlineStr">
        <is>
          <t>ÖREBRO LÄN</t>
        </is>
      </c>
      <c r="E4016" t="inlineStr">
        <is>
          <t>HALLSBERG</t>
        </is>
      </c>
      <c r="F4016" t="inlineStr">
        <is>
          <t>Sveaskog</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11065-2025</t>
        </is>
      </c>
      <c r="B4017" s="1" t="n">
        <v>45723.52491898148</v>
      </c>
      <c r="C4017" s="1" t="n">
        <v>45952</v>
      </c>
      <c r="D4017" t="inlineStr">
        <is>
          <t>ÖREBRO LÄN</t>
        </is>
      </c>
      <c r="E4017" t="inlineStr">
        <is>
          <t>ASKERSUND</t>
        </is>
      </c>
      <c r="F4017" t="inlineStr">
        <is>
          <t>Sveaskog</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32012-2025</t>
        </is>
      </c>
      <c r="B4018" s="1" t="n">
        <v>45835.39809027778</v>
      </c>
      <c r="C4018" s="1" t="n">
        <v>45952</v>
      </c>
      <c r="D4018" t="inlineStr">
        <is>
          <t>ÖREBRO LÄN</t>
        </is>
      </c>
      <c r="E4018" t="inlineStr">
        <is>
          <t>LJUSNARSBERG</t>
        </is>
      </c>
      <c r="F4018" t="inlineStr">
        <is>
          <t>Sveaskog</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11094-2025</t>
        </is>
      </c>
      <c r="B4019" s="1" t="n">
        <v>45723.58001157407</v>
      </c>
      <c r="C4019" s="1" t="n">
        <v>45952</v>
      </c>
      <c r="D4019" t="inlineStr">
        <is>
          <t>ÖREBRO LÄN</t>
        </is>
      </c>
      <c r="E4019" t="inlineStr">
        <is>
          <t>ASKERSUND</t>
        </is>
      </c>
      <c r="F4019" t="inlineStr">
        <is>
          <t>Sveaskog</t>
        </is>
      </c>
      <c r="G4019" t="n">
        <v>2.8</v>
      </c>
      <c r="H4019" t="n">
        <v>0</v>
      </c>
      <c r="I4019" t="n">
        <v>0</v>
      </c>
      <c r="J4019" t="n">
        <v>0</v>
      </c>
      <c r="K4019" t="n">
        <v>0</v>
      </c>
      <c r="L4019" t="n">
        <v>0</v>
      </c>
      <c r="M4019" t="n">
        <v>0</v>
      </c>
      <c r="N4019" t="n">
        <v>0</v>
      </c>
      <c r="O4019" t="n">
        <v>0</v>
      </c>
      <c r="P4019" t="n">
        <v>0</v>
      </c>
      <c r="Q4019" t="n">
        <v>0</v>
      </c>
      <c r="R4019" s="2" t="inlineStr"/>
    </row>
    <row r="4020" ht="15" customHeight="1">
      <c r="A4020" t="inlineStr">
        <is>
          <t>A 26412-2024</t>
        </is>
      </c>
      <c r="B4020" s="1" t="n">
        <v>45469.45405092592</v>
      </c>
      <c r="C4020" s="1" t="n">
        <v>45952</v>
      </c>
      <c r="D4020" t="inlineStr">
        <is>
          <t>ÖREBRO LÄN</t>
        </is>
      </c>
      <c r="E4020" t="inlineStr">
        <is>
          <t>ASKERSUND</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45173-2024</t>
        </is>
      </c>
      <c r="B4021" s="1" t="n">
        <v>45575.65721064815</v>
      </c>
      <c r="C4021" s="1" t="n">
        <v>45952</v>
      </c>
      <c r="D4021" t="inlineStr">
        <is>
          <t>ÖREBRO LÄN</t>
        </is>
      </c>
      <c r="E4021" t="inlineStr">
        <is>
          <t>LINDESBERG</t>
        </is>
      </c>
      <c r="F4021" t="inlineStr">
        <is>
          <t>Sveaskog</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43206-2025</t>
        </is>
      </c>
      <c r="B4022" s="1" t="n">
        <v>45910.44984953704</v>
      </c>
      <c r="C4022" s="1" t="n">
        <v>45952</v>
      </c>
      <c r="D4022" t="inlineStr">
        <is>
          <t>ÖREBRO LÄN</t>
        </is>
      </c>
      <c r="E4022" t="inlineStr">
        <is>
          <t>NORA</t>
        </is>
      </c>
      <c r="G4022" t="n">
        <v>4.5</v>
      </c>
      <c r="H4022" t="n">
        <v>0</v>
      </c>
      <c r="I4022" t="n">
        <v>0</v>
      </c>
      <c r="J4022" t="n">
        <v>0</v>
      </c>
      <c r="K4022" t="n">
        <v>0</v>
      </c>
      <c r="L4022" t="n">
        <v>0</v>
      </c>
      <c r="M4022" t="n">
        <v>0</v>
      </c>
      <c r="N4022" t="n">
        <v>0</v>
      </c>
      <c r="O4022" t="n">
        <v>0</v>
      </c>
      <c r="P4022" t="n">
        <v>0</v>
      </c>
      <c r="Q4022" t="n">
        <v>0</v>
      </c>
      <c r="R4022" s="2" t="inlineStr"/>
    </row>
    <row r="4023" ht="15" customHeight="1">
      <c r="A4023" t="inlineStr">
        <is>
          <t>A 43621-2025</t>
        </is>
      </c>
      <c r="B4023" s="1" t="n">
        <v>45911.681875</v>
      </c>
      <c r="C4023" s="1" t="n">
        <v>45952</v>
      </c>
      <c r="D4023" t="inlineStr">
        <is>
          <t>ÖREBRO LÄN</t>
        </is>
      </c>
      <c r="E4023" t="inlineStr">
        <is>
          <t>LEKEBERG</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43638-2025</t>
        </is>
      </c>
      <c r="B4024" s="1" t="n">
        <v>45911.73936342593</v>
      </c>
      <c r="C4024" s="1" t="n">
        <v>45952</v>
      </c>
      <c r="D4024" t="inlineStr">
        <is>
          <t>ÖREBRO LÄN</t>
        </is>
      </c>
      <c r="E4024" t="inlineStr">
        <is>
          <t>LJUSNARSBERG</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20463-2025</t>
        </is>
      </c>
      <c r="B4025" s="1" t="n">
        <v>45775.53664351852</v>
      </c>
      <c r="C4025" s="1" t="n">
        <v>45952</v>
      </c>
      <c r="D4025" t="inlineStr">
        <is>
          <t>ÖREBRO LÄN</t>
        </is>
      </c>
      <c r="E4025" t="inlineStr">
        <is>
          <t>KARLSKOGA</t>
        </is>
      </c>
      <c r="F4025" t="inlineStr">
        <is>
          <t>Sveaskog</t>
        </is>
      </c>
      <c r="G4025" t="n">
        <v>0.9</v>
      </c>
      <c r="H4025" t="n">
        <v>0</v>
      </c>
      <c r="I4025" t="n">
        <v>0</v>
      </c>
      <c r="J4025" t="n">
        <v>0</v>
      </c>
      <c r="K4025" t="n">
        <v>0</v>
      </c>
      <c r="L4025" t="n">
        <v>0</v>
      </c>
      <c r="M4025" t="n">
        <v>0</v>
      </c>
      <c r="N4025" t="n">
        <v>0</v>
      </c>
      <c r="O4025" t="n">
        <v>0</v>
      </c>
      <c r="P4025" t="n">
        <v>0</v>
      </c>
      <c r="Q4025" t="n">
        <v>0</v>
      </c>
      <c r="R4025" s="2" t="inlineStr"/>
    </row>
    <row r="4026" ht="15" customHeight="1">
      <c r="A4026" t="inlineStr">
        <is>
          <t>A 43383-2025</t>
        </is>
      </c>
      <c r="B4026" s="1" t="n">
        <v>45911.3646875</v>
      </c>
      <c r="C4026" s="1" t="n">
        <v>45952</v>
      </c>
      <c r="D4026" t="inlineStr">
        <is>
          <t>ÖREBRO LÄN</t>
        </is>
      </c>
      <c r="E4026" t="inlineStr">
        <is>
          <t>HALLSBERG</t>
        </is>
      </c>
      <c r="F4026" t="inlineStr">
        <is>
          <t>Sveaskog</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22927-2024</t>
        </is>
      </c>
      <c r="B4027" s="1" t="n">
        <v>45448</v>
      </c>
      <c r="C4027" s="1" t="n">
        <v>45952</v>
      </c>
      <c r="D4027" t="inlineStr">
        <is>
          <t>ÖREBRO LÄN</t>
        </is>
      </c>
      <c r="E4027" t="inlineStr">
        <is>
          <t>LAXÅ</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43173-2025</t>
        </is>
      </c>
      <c r="B4028" s="1" t="n">
        <v>45910.4009375</v>
      </c>
      <c r="C4028" s="1" t="n">
        <v>45952</v>
      </c>
      <c r="D4028" t="inlineStr">
        <is>
          <t>ÖREBRO LÄN</t>
        </is>
      </c>
      <c r="E4028" t="inlineStr">
        <is>
          <t>LAXÅ</t>
        </is>
      </c>
      <c r="F4028" t="inlineStr">
        <is>
          <t>Sveaskog</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32215-2024</t>
        </is>
      </c>
      <c r="B4029" s="1" t="n">
        <v>45511.89145833333</v>
      </c>
      <c r="C4029" s="1" t="n">
        <v>45952</v>
      </c>
      <c r="D4029" t="inlineStr">
        <is>
          <t>ÖREBRO LÄN</t>
        </is>
      </c>
      <c r="E4029" t="inlineStr">
        <is>
          <t>ASKERSUND</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36447-2025</t>
        </is>
      </c>
      <c r="B4030" s="1" t="n">
        <v>45869.41387731482</v>
      </c>
      <c r="C4030" s="1" t="n">
        <v>45952</v>
      </c>
      <c r="D4030" t="inlineStr">
        <is>
          <t>ÖREBRO LÄN</t>
        </is>
      </c>
      <c r="E4030" t="inlineStr">
        <is>
          <t>ÖREBRO</t>
        </is>
      </c>
      <c r="F4030" t="inlineStr">
        <is>
          <t>Övriga Aktiebolag</t>
        </is>
      </c>
      <c r="G4030" t="n">
        <v>12.6</v>
      </c>
      <c r="H4030" t="n">
        <v>0</v>
      </c>
      <c r="I4030" t="n">
        <v>0</v>
      </c>
      <c r="J4030" t="n">
        <v>0</v>
      </c>
      <c r="K4030" t="n">
        <v>0</v>
      </c>
      <c r="L4030" t="n">
        <v>0</v>
      </c>
      <c r="M4030" t="n">
        <v>0</v>
      </c>
      <c r="N4030" t="n">
        <v>0</v>
      </c>
      <c r="O4030" t="n">
        <v>0</v>
      </c>
      <c r="P4030" t="n">
        <v>0</v>
      </c>
      <c r="Q4030" t="n">
        <v>0</v>
      </c>
      <c r="R4030" s="2" t="inlineStr"/>
    </row>
    <row r="4031" ht="15" customHeight="1">
      <c r="A4031" t="inlineStr">
        <is>
          <t>A 47155-2024</t>
        </is>
      </c>
      <c r="B4031" s="1" t="n">
        <v>45586</v>
      </c>
      <c r="C4031" s="1" t="n">
        <v>45952</v>
      </c>
      <c r="D4031" t="inlineStr">
        <is>
          <t>ÖREBRO LÄN</t>
        </is>
      </c>
      <c r="E4031" t="inlineStr">
        <is>
          <t>LINDESBERG</t>
        </is>
      </c>
      <c r="F4031" t="inlineStr">
        <is>
          <t>Sveaskog</t>
        </is>
      </c>
      <c r="G4031" t="n">
        <v>5.7</v>
      </c>
      <c r="H4031" t="n">
        <v>0</v>
      </c>
      <c r="I4031" t="n">
        <v>0</v>
      </c>
      <c r="J4031" t="n">
        <v>0</v>
      </c>
      <c r="K4031" t="n">
        <v>0</v>
      </c>
      <c r="L4031" t="n">
        <v>0</v>
      </c>
      <c r="M4031" t="n">
        <v>0</v>
      </c>
      <c r="N4031" t="n">
        <v>0</v>
      </c>
      <c r="O4031" t="n">
        <v>0</v>
      </c>
      <c r="P4031" t="n">
        <v>0</v>
      </c>
      <c r="Q4031" t="n">
        <v>0</v>
      </c>
      <c r="R4031" s="2" t="inlineStr"/>
    </row>
    <row r="4032" ht="15" customHeight="1">
      <c r="A4032" t="inlineStr">
        <is>
          <t>A 30512-2025</t>
        </is>
      </c>
      <c r="B4032" s="1" t="n">
        <v>45831</v>
      </c>
      <c r="C4032" s="1" t="n">
        <v>45952</v>
      </c>
      <c r="D4032" t="inlineStr">
        <is>
          <t>ÖREBRO LÄN</t>
        </is>
      </c>
      <c r="E4032" t="inlineStr">
        <is>
          <t>LINDESBERG</t>
        </is>
      </c>
      <c r="G4032" t="n">
        <v>4.5</v>
      </c>
      <c r="H4032" t="n">
        <v>0</v>
      </c>
      <c r="I4032" t="n">
        <v>0</v>
      </c>
      <c r="J4032" t="n">
        <v>0</v>
      </c>
      <c r="K4032" t="n">
        <v>0</v>
      </c>
      <c r="L4032" t="n">
        <v>0</v>
      </c>
      <c r="M4032" t="n">
        <v>0</v>
      </c>
      <c r="N4032" t="n">
        <v>0</v>
      </c>
      <c r="O4032" t="n">
        <v>0</v>
      </c>
      <c r="P4032" t="n">
        <v>0</v>
      </c>
      <c r="Q4032" t="n">
        <v>0</v>
      </c>
      <c r="R4032" s="2" t="inlineStr"/>
    </row>
    <row r="4033" ht="15" customHeight="1">
      <c r="A4033" t="inlineStr">
        <is>
          <t>A 47222-2024</t>
        </is>
      </c>
      <c r="B4033" s="1" t="n">
        <v>45586</v>
      </c>
      <c r="C4033" s="1" t="n">
        <v>45952</v>
      </c>
      <c r="D4033" t="inlineStr">
        <is>
          <t>ÖREBRO LÄN</t>
        </is>
      </c>
      <c r="E4033" t="inlineStr">
        <is>
          <t>KARLSKOGA</t>
        </is>
      </c>
      <c r="F4033" t="inlineStr">
        <is>
          <t>Sveaskog</t>
        </is>
      </c>
      <c r="G4033" t="n">
        <v>5.3</v>
      </c>
      <c r="H4033" t="n">
        <v>0</v>
      </c>
      <c r="I4033" t="n">
        <v>0</v>
      </c>
      <c r="J4033" t="n">
        <v>0</v>
      </c>
      <c r="K4033" t="n">
        <v>0</v>
      </c>
      <c r="L4033" t="n">
        <v>0</v>
      </c>
      <c r="M4033" t="n">
        <v>0</v>
      </c>
      <c r="N4033" t="n">
        <v>0</v>
      </c>
      <c r="O4033" t="n">
        <v>0</v>
      </c>
      <c r="P4033" t="n">
        <v>0</v>
      </c>
      <c r="Q4033" t="n">
        <v>0</v>
      </c>
      <c r="R4033" s="2" t="inlineStr"/>
    </row>
    <row r="4034" ht="15" customHeight="1">
      <c r="A4034" t="inlineStr">
        <is>
          <t>A 43379-2025</t>
        </is>
      </c>
      <c r="B4034" s="1" t="n">
        <v>45911.36046296296</v>
      </c>
      <c r="C4034" s="1" t="n">
        <v>45952</v>
      </c>
      <c r="D4034" t="inlineStr">
        <is>
          <t>ÖREBRO LÄN</t>
        </is>
      </c>
      <c r="E4034" t="inlineStr">
        <is>
          <t>HALLSBERG</t>
        </is>
      </c>
      <c r="F4034" t="inlineStr">
        <is>
          <t>Sveaskog</t>
        </is>
      </c>
      <c r="G4034" t="n">
        <v>3.3</v>
      </c>
      <c r="H4034" t="n">
        <v>0</v>
      </c>
      <c r="I4034" t="n">
        <v>0</v>
      </c>
      <c r="J4034" t="n">
        <v>0</v>
      </c>
      <c r="K4034" t="n">
        <v>0</v>
      </c>
      <c r="L4034" t="n">
        <v>0</v>
      </c>
      <c r="M4034" t="n">
        <v>0</v>
      </c>
      <c r="N4034" t="n">
        <v>0</v>
      </c>
      <c r="O4034" t="n">
        <v>0</v>
      </c>
      <c r="P4034" t="n">
        <v>0</v>
      </c>
      <c r="Q4034" t="n">
        <v>0</v>
      </c>
      <c r="R4034" s="2" t="inlineStr"/>
    </row>
    <row r="4035" ht="15" customHeight="1">
      <c r="A4035" t="inlineStr">
        <is>
          <t>A 47935-2024</t>
        </is>
      </c>
      <c r="B4035" s="1" t="n">
        <v>45589.34674768519</v>
      </c>
      <c r="C4035" s="1" t="n">
        <v>45952</v>
      </c>
      <c r="D4035" t="inlineStr">
        <is>
          <t>ÖREBRO LÄN</t>
        </is>
      </c>
      <c r="E4035" t="inlineStr">
        <is>
          <t>DEGERFORS</t>
        </is>
      </c>
      <c r="F4035" t="inlineStr">
        <is>
          <t>Sveaskog</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36768-2025</t>
        </is>
      </c>
      <c r="B4036" s="1" t="n">
        <v>45873.58413194444</v>
      </c>
      <c r="C4036" s="1" t="n">
        <v>45952</v>
      </c>
      <c r="D4036" t="inlineStr">
        <is>
          <t>ÖREBRO LÄN</t>
        </is>
      </c>
      <c r="E4036" t="inlineStr">
        <is>
          <t>DEGERFORS</t>
        </is>
      </c>
      <c r="F4036" t="inlineStr">
        <is>
          <t>Sveaskog</t>
        </is>
      </c>
      <c r="G4036" t="n">
        <v>2.5</v>
      </c>
      <c r="H4036" t="n">
        <v>0</v>
      </c>
      <c r="I4036" t="n">
        <v>0</v>
      </c>
      <c r="J4036" t="n">
        <v>0</v>
      </c>
      <c r="K4036" t="n">
        <v>0</v>
      </c>
      <c r="L4036" t="n">
        <v>0</v>
      </c>
      <c r="M4036" t="n">
        <v>0</v>
      </c>
      <c r="N4036" t="n">
        <v>0</v>
      </c>
      <c r="O4036" t="n">
        <v>0</v>
      </c>
      <c r="P4036" t="n">
        <v>0</v>
      </c>
      <c r="Q4036" t="n">
        <v>0</v>
      </c>
      <c r="R4036" s="2" t="inlineStr"/>
    </row>
    <row r="4037" ht="15" customHeight="1">
      <c r="A4037" t="inlineStr">
        <is>
          <t>A 36769-2025</t>
        </is>
      </c>
      <c r="B4037" s="1" t="n">
        <v>45873.58680555555</v>
      </c>
      <c r="C4037" s="1" t="n">
        <v>45952</v>
      </c>
      <c r="D4037" t="inlineStr">
        <is>
          <t>ÖREBRO LÄN</t>
        </is>
      </c>
      <c r="E4037" t="inlineStr">
        <is>
          <t>DEGERFORS</t>
        </is>
      </c>
      <c r="F4037" t="inlineStr">
        <is>
          <t>Sveaskog</t>
        </is>
      </c>
      <c r="G4037" t="n">
        <v>9.6</v>
      </c>
      <c r="H4037" t="n">
        <v>0</v>
      </c>
      <c r="I4037" t="n">
        <v>0</v>
      </c>
      <c r="J4037" t="n">
        <v>0</v>
      </c>
      <c r="K4037" t="n">
        <v>0</v>
      </c>
      <c r="L4037" t="n">
        <v>0</v>
      </c>
      <c r="M4037" t="n">
        <v>0</v>
      </c>
      <c r="N4037" t="n">
        <v>0</v>
      </c>
      <c r="O4037" t="n">
        <v>0</v>
      </c>
      <c r="P4037" t="n">
        <v>0</v>
      </c>
      <c r="Q4037" t="n">
        <v>0</v>
      </c>
      <c r="R4037" s="2" t="inlineStr"/>
    </row>
    <row r="4038" ht="15" customHeight="1">
      <c r="A4038" t="inlineStr">
        <is>
          <t>A 36672-2025</t>
        </is>
      </c>
      <c r="B4038" s="1" t="n">
        <v>45873.39019675926</v>
      </c>
      <c r="C4038" s="1" t="n">
        <v>45952</v>
      </c>
      <c r="D4038" t="inlineStr">
        <is>
          <t>ÖREBRO LÄN</t>
        </is>
      </c>
      <c r="E4038" t="inlineStr">
        <is>
          <t>LAXÅ</t>
        </is>
      </c>
      <c r="F4038" t="inlineStr">
        <is>
          <t>Sveaskog</t>
        </is>
      </c>
      <c r="G4038" t="n">
        <v>1.9</v>
      </c>
      <c r="H4038" t="n">
        <v>0</v>
      </c>
      <c r="I4038" t="n">
        <v>0</v>
      </c>
      <c r="J4038" t="n">
        <v>0</v>
      </c>
      <c r="K4038" t="n">
        <v>0</v>
      </c>
      <c r="L4038" t="n">
        <v>0</v>
      </c>
      <c r="M4038" t="n">
        <v>0</v>
      </c>
      <c r="N4038" t="n">
        <v>0</v>
      </c>
      <c r="O4038" t="n">
        <v>0</v>
      </c>
      <c r="P4038" t="n">
        <v>0</v>
      </c>
      <c r="Q4038" t="n">
        <v>0</v>
      </c>
      <c r="R4038" s="2" t="inlineStr"/>
    </row>
    <row r="4039" ht="15" customHeight="1">
      <c r="A4039" t="inlineStr">
        <is>
          <t>A 52508-2024</t>
        </is>
      </c>
      <c r="B4039" s="1" t="n">
        <v>45609</v>
      </c>
      <c r="C4039" s="1" t="n">
        <v>45952</v>
      </c>
      <c r="D4039" t="inlineStr">
        <is>
          <t>ÖREBRO LÄN</t>
        </is>
      </c>
      <c r="E4039" t="inlineStr">
        <is>
          <t>DEGERFORS</t>
        </is>
      </c>
      <c r="F4039" t="inlineStr">
        <is>
          <t>Sveaskog</t>
        </is>
      </c>
      <c r="G4039" t="n">
        <v>4.2</v>
      </c>
      <c r="H4039" t="n">
        <v>0</v>
      </c>
      <c r="I4039" t="n">
        <v>0</v>
      </c>
      <c r="J4039" t="n">
        <v>0</v>
      </c>
      <c r="K4039" t="n">
        <v>0</v>
      </c>
      <c r="L4039" t="n">
        <v>0</v>
      </c>
      <c r="M4039" t="n">
        <v>0</v>
      </c>
      <c r="N4039" t="n">
        <v>0</v>
      </c>
      <c r="O4039" t="n">
        <v>0</v>
      </c>
      <c r="P4039" t="n">
        <v>0</v>
      </c>
      <c r="Q4039" t="n">
        <v>0</v>
      </c>
      <c r="R4039" s="2" t="inlineStr"/>
    </row>
    <row r="4040" ht="15" customHeight="1">
      <c r="A4040" t="inlineStr">
        <is>
          <t>A 43836-2025</t>
        </is>
      </c>
      <c r="B4040" s="1" t="n">
        <v>45912.63359953704</v>
      </c>
      <c r="C4040" s="1" t="n">
        <v>45952</v>
      </c>
      <c r="D4040" t="inlineStr">
        <is>
          <t>ÖREBRO LÄN</t>
        </is>
      </c>
      <c r="E4040" t="inlineStr">
        <is>
          <t>LINDESBERG</t>
        </is>
      </c>
      <c r="F4040" t="inlineStr">
        <is>
          <t>Sveaskog</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36572-2025</t>
        </is>
      </c>
      <c r="B4041" s="1" t="n">
        <v>45870</v>
      </c>
      <c r="C4041" s="1" t="n">
        <v>45952</v>
      </c>
      <c r="D4041" t="inlineStr">
        <is>
          <t>ÖREBRO LÄN</t>
        </is>
      </c>
      <c r="E4041" t="inlineStr">
        <is>
          <t>LINDESBERG</t>
        </is>
      </c>
      <c r="G4041" t="n">
        <v>11.9</v>
      </c>
      <c r="H4041" t="n">
        <v>0</v>
      </c>
      <c r="I4041" t="n">
        <v>0</v>
      </c>
      <c r="J4041" t="n">
        <v>0</v>
      </c>
      <c r="K4041" t="n">
        <v>0</v>
      </c>
      <c r="L4041" t="n">
        <v>0</v>
      </c>
      <c r="M4041" t="n">
        <v>0</v>
      </c>
      <c r="N4041" t="n">
        <v>0</v>
      </c>
      <c r="O4041" t="n">
        <v>0</v>
      </c>
      <c r="P4041" t="n">
        <v>0</v>
      </c>
      <c r="Q4041" t="n">
        <v>0</v>
      </c>
      <c r="R4041" s="2" t="inlineStr"/>
    </row>
    <row r="4042" ht="15" customHeight="1">
      <c r="A4042" t="inlineStr">
        <is>
          <t>A 43847-2025</t>
        </is>
      </c>
      <c r="B4042" s="1" t="n">
        <v>45912.63751157407</v>
      </c>
      <c r="C4042" s="1" t="n">
        <v>45952</v>
      </c>
      <c r="D4042" t="inlineStr">
        <is>
          <t>ÖREBRO LÄN</t>
        </is>
      </c>
      <c r="E4042" t="inlineStr">
        <is>
          <t>LINDESBERG</t>
        </is>
      </c>
      <c r="F4042" t="inlineStr">
        <is>
          <t>Sveaskog</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36574-2025</t>
        </is>
      </c>
      <c r="B4043" s="1" t="n">
        <v>45870</v>
      </c>
      <c r="C4043" s="1" t="n">
        <v>45952</v>
      </c>
      <c r="D4043" t="inlineStr">
        <is>
          <t>ÖREBRO LÄN</t>
        </is>
      </c>
      <c r="E4043" t="inlineStr">
        <is>
          <t>LINDESBERG</t>
        </is>
      </c>
      <c r="G4043" t="n">
        <v>4</v>
      </c>
      <c r="H4043" t="n">
        <v>0</v>
      </c>
      <c r="I4043" t="n">
        <v>0</v>
      </c>
      <c r="J4043" t="n">
        <v>0</v>
      </c>
      <c r="K4043" t="n">
        <v>0</v>
      </c>
      <c r="L4043" t="n">
        <v>0</v>
      </c>
      <c r="M4043" t="n">
        <v>0</v>
      </c>
      <c r="N4043" t="n">
        <v>0</v>
      </c>
      <c r="O4043" t="n">
        <v>0</v>
      </c>
      <c r="P4043" t="n">
        <v>0</v>
      </c>
      <c r="Q4043" t="n">
        <v>0</v>
      </c>
      <c r="R4043" s="2" t="inlineStr"/>
    </row>
    <row r="4044" ht="15" customHeight="1">
      <c r="A4044" t="inlineStr">
        <is>
          <t>A 4583-2025</t>
        </is>
      </c>
      <c r="B4044" s="1" t="n">
        <v>45687.51539351852</v>
      </c>
      <c r="C4044" s="1" t="n">
        <v>45952</v>
      </c>
      <c r="D4044" t="inlineStr">
        <is>
          <t>ÖREBRO LÄN</t>
        </is>
      </c>
      <c r="E4044" t="inlineStr">
        <is>
          <t>HÄLLEFORS</t>
        </is>
      </c>
      <c r="G4044" t="n">
        <v>3.3</v>
      </c>
      <c r="H4044" t="n">
        <v>0</v>
      </c>
      <c r="I4044" t="n">
        <v>0</v>
      </c>
      <c r="J4044" t="n">
        <v>0</v>
      </c>
      <c r="K4044" t="n">
        <v>0</v>
      </c>
      <c r="L4044" t="n">
        <v>0</v>
      </c>
      <c r="M4044" t="n">
        <v>0</v>
      </c>
      <c r="N4044" t="n">
        <v>0</v>
      </c>
      <c r="O4044" t="n">
        <v>0</v>
      </c>
      <c r="P4044" t="n">
        <v>0</v>
      </c>
      <c r="Q4044" t="n">
        <v>0</v>
      </c>
      <c r="R4044" s="2" t="inlineStr"/>
    </row>
    <row r="4045" ht="15" customHeight="1">
      <c r="A4045" t="inlineStr">
        <is>
          <t>A 12558-2025</t>
        </is>
      </c>
      <c r="B4045" s="1" t="n">
        <v>45731.46960648148</v>
      </c>
      <c r="C4045" s="1" t="n">
        <v>45952</v>
      </c>
      <c r="D4045" t="inlineStr">
        <is>
          <t>ÖREBRO LÄN</t>
        </is>
      </c>
      <c r="E4045" t="inlineStr">
        <is>
          <t>HÄLLEFORS</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46219-2024</t>
        </is>
      </c>
      <c r="B4046" s="1" t="n">
        <v>45581.56686342593</v>
      </c>
      <c r="C4046" s="1" t="n">
        <v>45952</v>
      </c>
      <c r="D4046" t="inlineStr">
        <is>
          <t>ÖREBRO LÄN</t>
        </is>
      </c>
      <c r="E4046" t="inlineStr">
        <is>
          <t>DEGERFORS</t>
        </is>
      </c>
      <c r="F4046" t="inlineStr">
        <is>
          <t>Sveaskog</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46862-2024</t>
        </is>
      </c>
      <c r="B4047" s="1" t="n">
        <v>45583</v>
      </c>
      <c r="C4047" s="1" t="n">
        <v>45952</v>
      </c>
      <c r="D4047" t="inlineStr">
        <is>
          <t>ÖREBRO LÄN</t>
        </is>
      </c>
      <c r="E4047" t="inlineStr">
        <is>
          <t>HALLSBERG</t>
        </is>
      </c>
      <c r="F4047" t="inlineStr">
        <is>
          <t>Sveaskog</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23683-2025</t>
        </is>
      </c>
      <c r="B4048" s="1" t="n">
        <v>45793.34197916667</v>
      </c>
      <c r="C4048" s="1" t="n">
        <v>45952</v>
      </c>
      <c r="D4048" t="inlineStr">
        <is>
          <t>ÖREBRO LÄN</t>
        </is>
      </c>
      <c r="E4048" t="inlineStr">
        <is>
          <t>DEGERFORS</t>
        </is>
      </c>
      <c r="G4048" t="n">
        <v>3.7</v>
      </c>
      <c r="H4048" t="n">
        <v>0</v>
      </c>
      <c r="I4048" t="n">
        <v>0</v>
      </c>
      <c r="J4048" t="n">
        <v>0</v>
      </c>
      <c r="K4048" t="n">
        <v>0</v>
      </c>
      <c r="L4048" t="n">
        <v>0</v>
      </c>
      <c r="M4048" t="n">
        <v>0</v>
      </c>
      <c r="N4048" t="n">
        <v>0</v>
      </c>
      <c r="O4048" t="n">
        <v>0</v>
      </c>
      <c r="P4048" t="n">
        <v>0</v>
      </c>
      <c r="Q4048" t="n">
        <v>0</v>
      </c>
      <c r="R4048" s="2" t="inlineStr"/>
    </row>
    <row r="4049" ht="15" customHeight="1">
      <c r="A4049" t="inlineStr">
        <is>
          <t>A 24828-2024</t>
        </is>
      </c>
      <c r="B4049" s="1" t="n">
        <v>45461.3750462963</v>
      </c>
      <c r="C4049" s="1" t="n">
        <v>45952</v>
      </c>
      <c r="D4049" t="inlineStr">
        <is>
          <t>ÖREBRO LÄN</t>
        </is>
      </c>
      <c r="E4049" t="inlineStr">
        <is>
          <t>NORA</t>
        </is>
      </c>
      <c r="G4049" t="n">
        <v>4.8</v>
      </c>
      <c r="H4049" t="n">
        <v>0</v>
      </c>
      <c r="I4049" t="n">
        <v>0</v>
      </c>
      <c r="J4049" t="n">
        <v>0</v>
      </c>
      <c r="K4049" t="n">
        <v>0</v>
      </c>
      <c r="L4049" t="n">
        <v>0</v>
      </c>
      <c r="M4049" t="n">
        <v>0</v>
      </c>
      <c r="N4049" t="n">
        <v>0</v>
      </c>
      <c r="O4049" t="n">
        <v>0</v>
      </c>
      <c r="P4049" t="n">
        <v>0</v>
      </c>
      <c r="Q4049" t="n">
        <v>0</v>
      </c>
      <c r="R4049" s="2" t="inlineStr"/>
    </row>
    <row r="4050" ht="15" customHeight="1">
      <c r="A4050" t="inlineStr">
        <is>
          <t>A 36577-2025</t>
        </is>
      </c>
      <c r="B4050" s="1" t="n">
        <v>45870</v>
      </c>
      <c r="C4050" s="1" t="n">
        <v>45952</v>
      </c>
      <c r="D4050" t="inlineStr">
        <is>
          <t>ÖREBRO LÄN</t>
        </is>
      </c>
      <c r="E4050" t="inlineStr">
        <is>
          <t>LINDESBERG</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44177-2025</t>
        </is>
      </c>
      <c r="B4051" s="1" t="n">
        <v>45915.6069212963</v>
      </c>
      <c r="C4051" s="1" t="n">
        <v>45952</v>
      </c>
      <c r="D4051" t="inlineStr">
        <is>
          <t>ÖREBRO LÄN</t>
        </is>
      </c>
      <c r="E4051" t="inlineStr">
        <is>
          <t>HALLSBERG</t>
        </is>
      </c>
      <c r="G4051" t="n">
        <v>5.3</v>
      </c>
      <c r="H4051" t="n">
        <v>0</v>
      </c>
      <c r="I4051" t="n">
        <v>0</v>
      </c>
      <c r="J4051" t="n">
        <v>0</v>
      </c>
      <c r="K4051" t="n">
        <v>0</v>
      </c>
      <c r="L4051" t="n">
        <v>0</v>
      </c>
      <c r="M4051" t="n">
        <v>0</v>
      </c>
      <c r="N4051" t="n">
        <v>0</v>
      </c>
      <c r="O4051" t="n">
        <v>0</v>
      </c>
      <c r="P4051" t="n">
        <v>0</v>
      </c>
      <c r="Q4051" t="n">
        <v>0</v>
      </c>
      <c r="R4051" s="2" t="inlineStr"/>
    </row>
    <row r="4052" ht="15" customHeight="1">
      <c r="A4052" t="inlineStr">
        <is>
          <t>A 44041-2025</t>
        </is>
      </c>
      <c r="B4052" s="1" t="n">
        <v>45915.49238425926</v>
      </c>
      <c r="C4052" s="1" t="n">
        <v>45952</v>
      </c>
      <c r="D4052" t="inlineStr">
        <is>
          <t>ÖREBRO LÄN</t>
        </is>
      </c>
      <c r="E4052" t="inlineStr">
        <is>
          <t>LINDESBERG</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43689-2025</t>
        </is>
      </c>
      <c r="B4053" s="1" t="n">
        <v>45912.38899305555</v>
      </c>
      <c r="C4053" s="1" t="n">
        <v>45952</v>
      </c>
      <c r="D4053" t="inlineStr">
        <is>
          <t>ÖREBRO LÄN</t>
        </is>
      </c>
      <c r="E4053" t="inlineStr">
        <is>
          <t>DEGERFORS</t>
        </is>
      </c>
      <c r="F4053" t="inlineStr">
        <is>
          <t>Sveaskog</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43691-2025</t>
        </is>
      </c>
      <c r="B4054" s="1" t="n">
        <v>45912.39130787037</v>
      </c>
      <c r="C4054" s="1" t="n">
        <v>45952</v>
      </c>
      <c r="D4054" t="inlineStr">
        <is>
          <t>ÖREBRO LÄN</t>
        </is>
      </c>
      <c r="E4054" t="inlineStr">
        <is>
          <t>DEGERFORS</t>
        </is>
      </c>
      <c r="F4054" t="inlineStr">
        <is>
          <t>Sveaskog</t>
        </is>
      </c>
      <c r="G4054" t="n">
        <v>2.7</v>
      </c>
      <c r="H4054" t="n">
        <v>0</v>
      </c>
      <c r="I4054" t="n">
        <v>0</v>
      </c>
      <c r="J4054" t="n">
        <v>0</v>
      </c>
      <c r="K4054" t="n">
        <v>0</v>
      </c>
      <c r="L4054" t="n">
        <v>0</v>
      </c>
      <c r="M4054" t="n">
        <v>0</v>
      </c>
      <c r="N4054" t="n">
        <v>0</v>
      </c>
      <c r="O4054" t="n">
        <v>0</v>
      </c>
      <c r="P4054" t="n">
        <v>0</v>
      </c>
      <c r="Q4054" t="n">
        <v>0</v>
      </c>
      <c r="R4054" s="2" t="inlineStr"/>
    </row>
    <row r="4055" ht="15" customHeight="1">
      <c r="A4055" t="inlineStr">
        <is>
          <t>A 43692-2025</t>
        </is>
      </c>
      <c r="B4055" s="1" t="n">
        <v>45912.39221064815</v>
      </c>
      <c r="C4055" s="1" t="n">
        <v>45952</v>
      </c>
      <c r="D4055" t="inlineStr">
        <is>
          <t>ÖREBRO LÄN</t>
        </is>
      </c>
      <c r="E4055" t="inlineStr">
        <is>
          <t>DEGERFORS</t>
        </is>
      </c>
      <c r="F4055" t="inlineStr">
        <is>
          <t>Sveaskog</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44077-2025</t>
        </is>
      </c>
      <c r="B4056" s="1" t="n">
        <v>45915.54983796296</v>
      </c>
      <c r="C4056" s="1" t="n">
        <v>45952</v>
      </c>
      <c r="D4056" t="inlineStr">
        <is>
          <t>ÖREBRO LÄN</t>
        </is>
      </c>
      <c r="E4056" t="inlineStr">
        <is>
          <t>LINDESBERG</t>
        </is>
      </c>
      <c r="G4056" t="n">
        <v>4.2</v>
      </c>
      <c r="H4056" t="n">
        <v>0</v>
      </c>
      <c r="I4056" t="n">
        <v>0</v>
      </c>
      <c r="J4056" t="n">
        <v>0</v>
      </c>
      <c r="K4056" t="n">
        <v>0</v>
      </c>
      <c r="L4056" t="n">
        <v>0</v>
      </c>
      <c r="M4056" t="n">
        <v>0</v>
      </c>
      <c r="N4056" t="n">
        <v>0</v>
      </c>
      <c r="O4056" t="n">
        <v>0</v>
      </c>
      <c r="P4056" t="n">
        <v>0</v>
      </c>
      <c r="Q4056" t="n">
        <v>0</v>
      </c>
      <c r="R4056" s="2" t="inlineStr"/>
    </row>
    <row r="4057" ht="15" customHeight="1">
      <c r="A4057" t="inlineStr">
        <is>
          <t>A 36789-2025</t>
        </is>
      </c>
      <c r="B4057" s="1" t="n">
        <v>45873.63458333333</v>
      </c>
      <c r="C4057" s="1" t="n">
        <v>45952</v>
      </c>
      <c r="D4057" t="inlineStr">
        <is>
          <t>ÖREBRO LÄN</t>
        </is>
      </c>
      <c r="E4057" t="inlineStr">
        <is>
          <t>HALLSBERG</t>
        </is>
      </c>
      <c r="G4057" t="n">
        <v>4.7</v>
      </c>
      <c r="H4057" t="n">
        <v>0</v>
      </c>
      <c r="I4057" t="n">
        <v>0</v>
      </c>
      <c r="J4057" t="n">
        <v>0</v>
      </c>
      <c r="K4057" t="n">
        <v>0</v>
      </c>
      <c r="L4057" t="n">
        <v>0</v>
      </c>
      <c r="M4057" t="n">
        <v>0</v>
      </c>
      <c r="N4057" t="n">
        <v>0</v>
      </c>
      <c r="O4057" t="n">
        <v>0</v>
      </c>
      <c r="P4057" t="n">
        <v>0</v>
      </c>
      <c r="Q4057" t="n">
        <v>0</v>
      </c>
      <c r="R4057" s="2" t="inlineStr"/>
    </row>
    <row r="4058" ht="15" customHeight="1">
      <c r="A4058" t="inlineStr">
        <is>
          <t>A 43772-2025</t>
        </is>
      </c>
      <c r="B4058" s="1" t="n">
        <v>45912.50550925926</v>
      </c>
      <c r="C4058" s="1" t="n">
        <v>45952</v>
      </c>
      <c r="D4058" t="inlineStr">
        <is>
          <t>ÖREBRO LÄN</t>
        </is>
      </c>
      <c r="E4058" t="inlineStr">
        <is>
          <t>KARLSKOGA</t>
        </is>
      </c>
      <c r="G4058" t="n">
        <v>3.6</v>
      </c>
      <c r="H4058" t="n">
        <v>0</v>
      </c>
      <c r="I4058" t="n">
        <v>0</v>
      </c>
      <c r="J4058" t="n">
        <v>0</v>
      </c>
      <c r="K4058" t="n">
        <v>0</v>
      </c>
      <c r="L4058" t="n">
        <v>0</v>
      </c>
      <c r="M4058" t="n">
        <v>0</v>
      </c>
      <c r="N4058" t="n">
        <v>0</v>
      </c>
      <c r="O4058" t="n">
        <v>0</v>
      </c>
      <c r="P4058" t="n">
        <v>0</v>
      </c>
      <c r="Q4058" t="n">
        <v>0</v>
      </c>
      <c r="R4058" s="2" t="inlineStr"/>
    </row>
    <row r="4059" ht="15" customHeight="1">
      <c r="A4059" t="inlineStr">
        <is>
          <t>A 11382-2023</t>
        </is>
      </c>
      <c r="B4059" s="1" t="n">
        <v>44993.45635416666</v>
      </c>
      <c r="C4059" s="1" t="n">
        <v>45952</v>
      </c>
      <c r="D4059" t="inlineStr">
        <is>
          <t>ÖREBRO LÄN</t>
        </is>
      </c>
      <c r="E4059" t="inlineStr">
        <is>
          <t>ÖREBRO</t>
        </is>
      </c>
      <c r="G4059" t="n">
        <v>3.3</v>
      </c>
      <c r="H4059" t="n">
        <v>0</v>
      </c>
      <c r="I4059" t="n">
        <v>0</v>
      </c>
      <c r="J4059" t="n">
        <v>0</v>
      </c>
      <c r="K4059" t="n">
        <v>0</v>
      </c>
      <c r="L4059" t="n">
        <v>0</v>
      </c>
      <c r="M4059" t="n">
        <v>0</v>
      </c>
      <c r="N4059" t="n">
        <v>0</v>
      </c>
      <c r="O4059" t="n">
        <v>0</v>
      </c>
      <c r="P4059" t="n">
        <v>0</v>
      </c>
      <c r="Q4059" t="n">
        <v>0</v>
      </c>
      <c r="R4059" s="2" t="inlineStr"/>
    </row>
    <row r="4060" ht="15" customHeight="1">
      <c r="A4060" t="inlineStr">
        <is>
          <t>A 49498-2024</t>
        </is>
      </c>
      <c r="B4060" s="1" t="n">
        <v>45596.3672337963</v>
      </c>
      <c r="C4060" s="1" t="n">
        <v>45952</v>
      </c>
      <c r="D4060" t="inlineStr">
        <is>
          <t>ÖREBRO LÄN</t>
        </is>
      </c>
      <c r="E4060" t="inlineStr">
        <is>
          <t>NORA</t>
        </is>
      </c>
      <c r="F4060" t="inlineStr">
        <is>
          <t>Sveaskog</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52016-2024</t>
        </is>
      </c>
      <c r="B4061" s="1" t="n">
        <v>45607.81917824074</v>
      </c>
      <c r="C4061" s="1" t="n">
        <v>45952</v>
      </c>
      <c r="D4061" t="inlineStr">
        <is>
          <t>ÖREBRO LÄN</t>
        </is>
      </c>
      <c r="E4061" t="inlineStr">
        <is>
          <t>ÖREBRO</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46833-2024</t>
        </is>
      </c>
      <c r="B4062" s="1" t="n">
        <v>45583.59436342592</v>
      </c>
      <c r="C4062" s="1" t="n">
        <v>45952</v>
      </c>
      <c r="D4062" t="inlineStr">
        <is>
          <t>ÖREBRO LÄN</t>
        </is>
      </c>
      <c r="E4062" t="inlineStr">
        <is>
          <t>HALLSBERG</t>
        </is>
      </c>
      <c r="F4062" t="inlineStr">
        <is>
          <t>Sveaskog</t>
        </is>
      </c>
      <c r="G4062" t="n">
        <v>2.7</v>
      </c>
      <c r="H4062" t="n">
        <v>0</v>
      </c>
      <c r="I4062" t="n">
        <v>0</v>
      </c>
      <c r="J4062" t="n">
        <v>0</v>
      </c>
      <c r="K4062" t="n">
        <v>0</v>
      </c>
      <c r="L4062" t="n">
        <v>0</v>
      </c>
      <c r="M4062" t="n">
        <v>0</v>
      </c>
      <c r="N4062" t="n">
        <v>0</v>
      </c>
      <c r="O4062" t="n">
        <v>0</v>
      </c>
      <c r="P4062" t="n">
        <v>0</v>
      </c>
      <c r="Q4062" t="n">
        <v>0</v>
      </c>
      <c r="R4062" s="2" t="inlineStr"/>
    </row>
    <row r="4063" ht="15" customHeight="1">
      <c r="A4063" t="inlineStr">
        <is>
          <t>A 36619-2025</t>
        </is>
      </c>
      <c r="B4063" s="1" t="n">
        <v>45870.63782407407</v>
      </c>
      <c r="C4063" s="1" t="n">
        <v>45952</v>
      </c>
      <c r="D4063" t="inlineStr">
        <is>
          <t>ÖREBRO LÄN</t>
        </is>
      </c>
      <c r="E4063" t="inlineStr">
        <is>
          <t>HALLSBERG</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17072-2025</t>
        </is>
      </c>
      <c r="B4064" s="1" t="n">
        <v>45755.61793981482</v>
      </c>
      <c r="C4064" s="1" t="n">
        <v>45952</v>
      </c>
      <c r="D4064" t="inlineStr">
        <is>
          <t>ÖREBRO LÄN</t>
        </is>
      </c>
      <c r="E4064" t="inlineStr">
        <is>
          <t>HÄLLEFORS</t>
        </is>
      </c>
      <c r="F4064" t="inlineStr">
        <is>
          <t>Bergvik skog väst AB</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24629-2023</t>
        </is>
      </c>
      <c r="B4065" s="1" t="n">
        <v>45084.39814814815</v>
      </c>
      <c r="C4065" s="1" t="n">
        <v>45952</v>
      </c>
      <c r="D4065" t="inlineStr">
        <is>
          <t>ÖREBRO LÄN</t>
        </is>
      </c>
      <c r="E4065" t="inlineStr">
        <is>
          <t>HALLSBERG</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52505-2023</t>
        </is>
      </c>
      <c r="B4066" s="1" t="n">
        <v>45225</v>
      </c>
      <c r="C4066" s="1" t="n">
        <v>45952</v>
      </c>
      <c r="D4066" t="inlineStr">
        <is>
          <t>ÖREBRO LÄN</t>
        </is>
      </c>
      <c r="E4066" t="inlineStr">
        <is>
          <t>NORA</t>
        </is>
      </c>
      <c r="G4066" t="n">
        <v>2.3</v>
      </c>
      <c r="H4066" t="n">
        <v>0</v>
      </c>
      <c r="I4066" t="n">
        <v>0</v>
      </c>
      <c r="J4066" t="n">
        <v>0</v>
      </c>
      <c r="K4066" t="n">
        <v>0</v>
      </c>
      <c r="L4066" t="n">
        <v>0</v>
      </c>
      <c r="M4066" t="n">
        <v>0</v>
      </c>
      <c r="N4066" t="n">
        <v>0</v>
      </c>
      <c r="O4066" t="n">
        <v>0</v>
      </c>
      <c r="P4066" t="n">
        <v>0</v>
      </c>
      <c r="Q4066" t="n">
        <v>0</v>
      </c>
      <c r="R4066" s="2" t="inlineStr"/>
    </row>
    <row r="4067" ht="15" customHeight="1">
      <c r="A4067" t="inlineStr">
        <is>
          <t>A 10111-2022</t>
        </is>
      </c>
      <c r="B4067" s="1" t="n">
        <v>44621.85737268518</v>
      </c>
      <c r="C4067" s="1" t="n">
        <v>45952</v>
      </c>
      <c r="D4067" t="inlineStr">
        <is>
          <t>ÖREBRO LÄN</t>
        </is>
      </c>
      <c r="E4067" t="inlineStr">
        <is>
          <t>LINDESBERG</t>
        </is>
      </c>
      <c r="G4067" t="n">
        <v>2.4</v>
      </c>
      <c r="H4067" t="n">
        <v>0</v>
      </c>
      <c r="I4067" t="n">
        <v>0</v>
      </c>
      <c r="J4067" t="n">
        <v>0</v>
      </c>
      <c r="K4067" t="n">
        <v>0</v>
      </c>
      <c r="L4067" t="n">
        <v>0</v>
      </c>
      <c r="M4067" t="n">
        <v>0</v>
      </c>
      <c r="N4067" t="n">
        <v>0</v>
      </c>
      <c r="O4067" t="n">
        <v>0</v>
      </c>
      <c r="P4067" t="n">
        <v>0</v>
      </c>
      <c r="Q4067" t="n">
        <v>0</v>
      </c>
      <c r="R4067" s="2" t="inlineStr"/>
    </row>
    <row r="4068" ht="15" customHeight="1">
      <c r="A4068" t="inlineStr">
        <is>
          <t>A 27112-2023</t>
        </is>
      </c>
      <c r="B4068" s="1" t="n">
        <v>45096</v>
      </c>
      <c r="C4068" s="1" t="n">
        <v>45952</v>
      </c>
      <c r="D4068" t="inlineStr">
        <is>
          <t>ÖREBRO LÄN</t>
        </is>
      </c>
      <c r="E4068" t="inlineStr">
        <is>
          <t>ÖREBRO</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3799-2024</t>
        </is>
      </c>
      <c r="B4069" s="1" t="n">
        <v>45321.63527777778</v>
      </c>
      <c r="C4069" s="1" t="n">
        <v>45952</v>
      </c>
      <c r="D4069" t="inlineStr">
        <is>
          <t>ÖREBRO LÄN</t>
        </is>
      </c>
      <c r="E4069" t="inlineStr">
        <is>
          <t>HALLSBERG</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16739-2022</t>
        </is>
      </c>
      <c r="B4070" s="1" t="n">
        <v>44673</v>
      </c>
      <c r="C4070" s="1" t="n">
        <v>45952</v>
      </c>
      <c r="D4070" t="inlineStr">
        <is>
          <t>ÖREBRO LÄN</t>
        </is>
      </c>
      <c r="E4070" t="inlineStr">
        <is>
          <t>ÖREBRO</t>
        </is>
      </c>
      <c r="G4070" t="n">
        <v>4.7</v>
      </c>
      <c r="H4070" t="n">
        <v>0</v>
      </c>
      <c r="I4070" t="n">
        <v>0</v>
      </c>
      <c r="J4070" t="n">
        <v>0</v>
      </c>
      <c r="K4070" t="n">
        <v>0</v>
      </c>
      <c r="L4070" t="n">
        <v>0</v>
      </c>
      <c r="M4070" t="n">
        <v>0</v>
      </c>
      <c r="N4070" t="n">
        <v>0</v>
      </c>
      <c r="O4070" t="n">
        <v>0</v>
      </c>
      <c r="P4070" t="n">
        <v>0</v>
      </c>
      <c r="Q4070" t="n">
        <v>0</v>
      </c>
      <c r="R4070" s="2" t="inlineStr"/>
    </row>
    <row r="4071" ht="15" customHeight="1">
      <c r="A4071" t="inlineStr">
        <is>
          <t>A 43690-2025</t>
        </is>
      </c>
      <c r="B4071" s="1" t="n">
        <v>45912.38975694445</v>
      </c>
      <c r="C4071" s="1" t="n">
        <v>45952</v>
      </c>
      <c r="D4071" t="inlineStr">
        <is>
          <t>ÖREBRO LÄN</t>
        </is>
      </c>
      <c r="E4071" t="inlineStr">
        <is>
          <t>DEGERFORS</t>
        </is>
      </c>
      <c r="F4071" t="inlineStr">
        <is>
          <t>Sveaskog</t>
        </is>
      </c>
      <c r="G4071" t="n">
        <v>0.8</v>
      </c>
      <c r="H4071" t="n">
        <v>0</v>
      </c>
      <c r="I4071" t="n">
        <v>0</v>
      </c>
      <c r="J4071" t="n">
        <v>0</v>
      </c>
      <c r="K4071" t="n">
        <v>0</v>
      </c>
      <c r="L4071" t="n">
        <v>0</v>
      </c>
      <c r="M4071" t="n">
        <v>0</v>
      </c>
      <c r="N4071" t="n">
        <v>0</v>
      </c>
      <c r="O4071" t="n">
        <v>0</v>
      </c>
      <c r="P4071" t="n">
        <v>0</v>
      </c>
      <c r="Q4071" t="n">
        <v>0</v>
      </c>
      <c r="R4071" s="2" t="inlineStr"/>
    </row>
    <row r="4072" ht="15" customHeight="1">
      <c r="A4072" t="inlineStr">
        <is>
          <t>A 8331-2021</t>
        </is>
      </c>
      <c r="B4072" s="1" t="n">
        <v>44244</v>
      </c>
      <c r="C4072" s="1" t="n">
        <v>45952</v>
      </c>
      <c r="D4072" t="inlineStr">
        <is>
          <t>ÖREBRO LÄN</t>
        </is>
      </c>
      <c r="E4072" t="inlineStr">
        <is>
          <t>ÖREBRO</t>
        </is>
      </c>
      <c r="G4072" t="n">
        <v>9.1</v>
      </c>
      <c r="H4072" t="n">
        <v>0</v>
      </c>
      <c r="I4072" t="n">
        <v>0</v>
      </c>
      <c r="J4072" t="n">
        <v>0</v>
      </c>
      <c r="K4072" t="n">
        <v>0</v>
      </c>
      <c r="L4072" t="n">
        <v>0</v>
      </c>
      <c r="M4072" t="n">
        <v>0</v>
      </c>
      <c r="N4072" t="n">
        <v>0</v>
      </c>
      <c r="O4072" t="n">
        <v>0</v>
      </c>
      <c r="P4072" t="n">
        <v>0</v>
      </c>
      <c r="Q4072" t="n">
        <v>0</v>
      </c>
      <c r="R4072" s="2" t="inlineStr"/>
    </row>
    <row r="4073" ht="15" customHeight="1">
      <c r="A4073" t="inlineStr">
        <is>
          <t>A 41233-2024</t>
        </is>
      </c>
      <c r="B4073" s="1" t="n">
        <v>45559</v>
      </c>
      <c r="C4073" s="1" t="n">
        <v>45952</v>
      </c>
      <c r="D4073" t="inlineStr">
        <is>
          <t>ÖREBRO LÄN</t>
        </is>
      </c>
      <c r="E4073" t="inlineStr">
        <is>
          <t>LEKEBERG</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36670-2025</t>
        </is>
      </c>
      <c r="B4074" s="1" t="n">
        <v>45873</v>
      </c>
      <c r="C4074" s="1" t="n">
        <v>45952</v>
      </c>
      <c r="D4074" t="inlineStr">
        <is>
          <t>ÖREBRO LÄN</t>
        </is>
      </c>
      <c r="E4074" t="inlineStr">
        <is>
          <t>LAXÅ</t>
        </is>
      </c>
      <c r="F4074" t="inlineStr">
        <is>
          <t>Sveaskog</t>
        </is>
      </c>
      <c r="G4074" t="n">
        <v>4.7</v>
      </c>
      <c r="H4074" t="n">
        <v>0</v>
      </c>
      <c r="I4074" t="n">
        <v>0</v>
      </c>
      <c r="J4074" t="n">
        <v>0</v>
      </c>
      <c r="K4074" t="n">
        <v>0</v>
      </c>
      <c r="L4074" t="n">
        <v>0</v>
      </c>
      <c r="M4074" t="n">
        <v>0</v>
      </c>
      <c r="N4074" t="n">
        <v>0</v>
      </c>
      <c r="O4074" t="n">
        <v>0</v>
      </c>
      <c r="P4074" t="n">
        <v>0</v>
      </c>
      <c r="Q4074" t="n">
        <v>0</v>
      </c>
      <c r="R4074" s="2" t="inlineStr"/>
    </row>
    <row r="4075" ht="15" customHeight="1">
      <c r="A4075" t="inlineStr">
        <is>
          <t>A 5245-2025</t>
        </is>
      </c>
      <c r="B4075" s="1" t="n">
        <v>45692</v>
      </c>
      <c r="C4075" s="1" t="n">
        <v>45952</v>
      </c>
      <c r="D4075" t="inlineStr">
        <is>
          <t>ÖREBRO LÄN</t>
        </is>
      </c>
      <c r="E4075" t="inlineStr">
        <is>
          <t>HÄLLEFORS</t>
        </is>
      </c>
      <c r="F4075" t="inlineStr">
        <is>
          <t>Bergvik skog väst AB</t>
        </is>
      </c>
      <c r="G4075" t="n">
        <v>8.699999999999999</v>
      </c>
      <c r="H4075" t="n">
        <v>0</v>
      </c>
      <c r="I4075" t="n">
        <v>0</v>
      </c>
      <c r="J4075" t="n">
        <v>0</v>
      </c>
      <c r="K4075" t="n">
        <v>0</v>
      </c>
      <c r="L4075" t="n">
        <v>0</v>
      </c>
      <c r="M4075" t="n">
        <v>0</v>
      </c>
      <c r="N4075" t="n">
        <v>0</v>
      </c>
      <c r="O4075" t="n">
        <v>0</v>
      </c>
      <c r="P4075" t="n">
        <v>0</v>
      </c>
      <c r="Q4075" t="n">
        <v>0</v>
      </c>
      <c r="R4075" s="2" t="inlineStr"/>
    </row>
    <row r="4076" ht="15" customHeight="1">
      <c r="A4076" t="inlineStr">
        <is>
          <t>A 43837-2025</t>
        </is>
      </c>
      <c r="B4076" s="1" t="n">
        <v>45912.63451388889</v>
      </c>
      <c r="C4076" s="1" t="n">
        <v>45952</v>
      </c>
      <c r="D4076" t="inlineStr">
        <is>
          <t>ÖREBRO LÄN</t>
        </is>
      </c>
      <c r="E4076" t="inlineStr">
        <is>
          <t>LINDESBERG</t>
        </is>
      </c>
      <c r="F4076" t="inlineStr">
        <is>
          <t>Sveaskog</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36579-2025</t>
        </is>
      </c>
      <c r="B4077" s="1" t="n">
        <v>45870</v>
      </c>
      <c r="C4077" s="1" t="n">
        <v>45952</v>
      </c>
      <c r="D4077" t="inlineStr">
        <is>
          <t>ÖREBRO LÄN</t>
        </is>
      </c>
      <c r="E4077" t="inlineStr">
        <is>
          <t>LINDESBERG</t>
        </is>
      </c>
      <c r="G4077" t="n">
        <v>6</v>
      </c>
      <c r="H4077" t="n">
        <v>0</v>
      </c>
      <c r="I4077" t="n">
        <v>0</v>
      </c>
      <c r="J4077" t="n">
        <v>0</v>
      </c>
      <c r="K4077" t="n">
        <v>0</v>
      </c>
      <c r="L4077" t="n">
        <v>0</v>
      </c>
      <c r="M4077" t="n">
        <v>0</v>
      </c>
      <c r="N4077" t="n">
        <v>0</v>
      </c>
      <c r="O4077" t="n">
        <v>0</v>
      </c>
      <c r="P4077" t="n">
        <v>0</v>
      </c>
      <c r="Q4077" t="n">
        <v>0</v>
      </c>
      <c r="R4077" s="2" t="inlineStr"/>
    </row>
    <row r="4078" ht="15" customHeight="1">
      <c r="A4078" t="inlineStr">
        <is>
          <t>A 13592-2023</t>
        </is>
      </c>
      <c r="B4078" s="1" t="n">
        <v>45006.56870370371</v>
      </c>
      <c r="C4078" s="1" t="n">
        <v>45952</v>
      </c>
      <c r="D4078" t="inlineStr">
        <is>
          <t>ÖREBRO LÄN</t>
        </is>
      </c>
      <c r="E4078" t="inlineStr">
        <is>
          <t>ÖREBRO</t>
        </is>
      </c>
      <c r="G4078" t="n">
        <v>2</v>
      </c>
      <c r="H4078" t="n">
        <v>0</v>
      </c>
      <c r="I4078" t="n">
        <v>0</v>
      </c>
      <c r="J4078" t="n">
        <v>0</v>
      </c>
      <c r="K4078" t="n">
        <v>0</v>
      </c>
      <c r="L4078" t="n">
        <v>0</v>
      </c>
      <c r="M4078" t="n">
        <v>0</v>
      </c>
      <c r="N4078" t="n">
        <v>0</v>
      </c>
      <c r="O4078" t="n">
        <v>0</v>
      </c>
      <c r="P4078" t="n">
        <v>0</v>
      </c>
      <c r="Q4078" t="n">
        <v>0</v>
      </c>
      <c r="R4078" s="2" t="inlineStr"/>
    </row>
    <row r="4079" ht="15" customHeight="1">
      <c r="A4079" t="inlineStr">
        <is>
          <t>A 14231-2023</t>
        </is>
      </c>
      <c r="B4079" s="1" t="n">
        <v>45009.64217592592</v>
      </c>
      <c r="C4079" s="1" t="n">
        <v>45952</v>
      </c>
      <c r="D4079" t="inlineStr">
        <is>
          <t>ÖREBRO LÄN</t>
        </is>
      </c>
      <c r="E4079" t="inlineStr">
        <is>
          <t>LINDESBERG</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44067-2025</t>
        </is>
      </c>
      <c r="B4080" s="1" t="n">
        <v>45915.54439814815</v>
      </c>
      <c r="C4080" s="1" t="n">
        <v>45952</v>
      </c>
      <c r="D4080" t="inlineStr">
        <is>
          <t>ÖREBRO LÄN</t>
        </is>
      </c>
      <c r="E4080" t="inlineStr">
        <is>
          <t>LINDESBERG</t>
        </is>
      </c>
      <c r="G4080" t="n">
        <v>2.8</v>
      </c>
      <c r="H4080" t="n">
        <v>0</v>
      </c>
      <c r="I4080" t="n">
        <v>0</v>
      </c>
      <c r="J4080" t="n">
        <v>0</v>
      </c>
      <c r="K4080" t="n">
        <v>0</v>
      </c>
      <c r="L4080" t="n">
        <v>0</v>
      </c>
      <c r="M4080" t="n">
        <v>0</v>
      </c>
      <c r="N4080" t="n">
        <v>0</v>
      </c>
      <c r="O4080" t="n">
        <v>0</v>
      </c>
      <c r="P4080" t="n">
        <v>0</v>
      </c>
      <c r="Q4080" t="n">
        <v>0</v>
      </c>
      <c r="R4080" s="2" t="inlineStr"/>
    </row>
    <row r="4081" ht="15" customHeight="1">
      <c r="A4081" t="inlineStr">
        <is>
          <t>A 44764-2023</t>
        </is>
      </c>
      <c r="B4081" s="1" t="n">
        <v>45190.43935185186</v>
      </c>
      <c r="C4081" s="1" t="n">
        <v>45952</v>
      </c>
      <c r="D4081" t="inlineStr">
        <is>
          <t>ÖREBRO LÄN</t>
        </is>
      </c>
      <c r="E4081" t="inlineStr">
        <is>
          <t>ASKERSUND</t>
        </is>
      </c>
      <c r="G4081" t="n">
        <v>1.3</v>
      </c>
      <c r="H4081" t="n">
        <v>0</v>
      </c>
      <c r="I4081" t="n">
        <v>0</v>
      </c>
      <c r="J4081" t="n">
        <v>0</v>
      </c>
      <c r="K4081" t="n">
        <v>0</v>
      </c>
      <c r="L4081" t="n">
        <v>0</v>
      </c>
      <c r="M4081" t="n">
        <v>0</v>
      </c>
      <c r="N4081" t="n">
        <v>0</v>
      </c>
      <c r="O4081" t="n">
        <v>0</v>
      </c>
      <c r="P4081" t="n">
        <v>0</v>
      </c>
      <c r="Q4081" t="n">
        <v>0</v>
      </c>
      <c r="R4081" s="2" t="inlineStr"/>
    </row>
    <row r="4082" ht="15" customHeight="1">
      <c r="A4082" t="inlineStr">
        <is>
          <t>A 54227-2024</t>
        </is>
      </c>
      <c r="B4082" s="1" t="n">
        <v>45616</v>
      </c>
      <c r="C4082" s="1" t="n">
        <v>45952</v>
      </c>
      <c r="D4082" t="inlineStr">
        <is>
          <t>ÖREBRO LÄN</t>
        </is>
      </c>
      <c r="E4082" t="inlineStr">
        <is>
          <t>LEKEBERG</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40656-2023</t>
        </is>
      </c>
      <c r="B4083" s="1" t="n">
        <v>45170</v>
      </c>
      <c r="C4083" s="1" t="n">
        <v>45952</v>
      </c>
      <c r="D4083" t="inlineStr">
        <is>
          <t>ÖREBRO LÄN</t>
        </is>
      </c>
      <c r="E4083" t="inlineStr">
        <is>
          <t>ÖREBRO</t>
        </is>
      </c>
      <c r="F4083" t="inlineStr">
        <is>
          <t>Övriga Aktiebolag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29018-2023</t>
        </is>
      </c>
      <c r="B4084" s="1" t="n">
        <v>45104</v>
      </c>
      <c r="C4084" s="1" t="n">
        <v>45952</v>
      </c>
      <c r="D4084" t="inlineStr">
        <is>
          <t>ÖREBRO LÄN</t>
        </is>
      </c>
      <c r="E4084" t="inlineStr">
        <is>
          <t>NORA</t>
        </is>
      </c>
      <c r="G4084" t="n">
        <v>6.3</v>
      </c>
      <c r="H4084" t="n">
        <v>0</v>
      </c>
      <c r="I4084" t="n">
        <v>0</v>
      </c>
      <c r="J4084" t="n">
        <v>0</v>
      </c>
      <c r="K4084" t="n">
        <v>0</v>
      </c>
      <c r="L4084" t="n">
        <v>0</v>
      </c>
      <c r="M4084" t="n">
        <v>0</v>
      </c>
      <c r="N4084" t="n">
        <v>0</v>
      </c>
      <c r="O4084" t="n">
        <v>0</v>
      </c>
      <c r="P4084" t="n">
        <v>0</v>
      </c>
      <c r="Q4084" t="n">
        <v>0</v>
      </c>
      <c r="R4084" s="2" t="inlineStr"/>
    </row>
    <row r="4085" ht="15" customHeight="1">
      <c r="A4085" t="inlineStr">
        <is>
          <t>A 484-2022</t>
        </is>
      </c>
      <c r="B4085" s="1" t="n">
        <v>44566</v>
      </c>
      <c r="C4085" s="1" t="n">
        <v>45952</v>
      </c>
      <c r="D4085" t="inlineStr">
        <is>
          <t>ÖREBRO LÄN</t>
        </is>
      </c>
      <c r="E4085" t="inlineStr">
        <is>
          <t>LINDESBERG</t>
        </is>
      </c>
      <c r="G4085" t="n">
        <v>9.699999999999999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59629-2024</t>
        </is>
      </c>
      <c r="B4086" s="1" t="n">
        <v>45638.89961805556</v>
      </c>
      <c r="C4086" s="1" t="n">
        <v>45952</v>
      </c>
      <c r="D4086" t="inlineStr">
        <is>
          <t>ÖREBRO LÄN</t>
        </is>
      </c>
      <c r="E4086" t="inlineStr">
        <is>
          <t>LJUSNARSBERG</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43694-2025</t>
        </is>
      </c>
      <c r="B4087" s="1" t="n">
        <v>45912.39295138889</v>
      </c>
      <c r="C4087" s="1" t="n">
        <v>45952</v>
      </c>
      <c r="D4087" t="inlineStr">
        <is>
          <t>ÖREBRO LÄN</t>
        </is>
      </c>
      <c r="E4087" t="inlineStr">
        <is>
          <t>DEGERFORS</t>
        </is>
      </c>
      <c r="F4087" t="inlineStr">
        <is>
          <t>Sveaskog</t>
        </is>
      </c>
      <c r="G4087" t="n">
        <v>6.6</v>
      </c>
      <c r="H4087" t="n">
        <v>0</v>
      </c>
      <c r="I4087" t="n">
        <v>0</v>
      </c>
      <c r="J4087" t="n">
        <v>0</v>
      </c>
      <c r="K4087" t="n">
        <v>0</v>
      </c>
      <c r="L4087" t="n">
        <v>0</v>
      </c>
      <c r="M4087" t="n">
        <v>0</v>
      </c>
      <c r="N4087" t="n">
        <v>0</v>
      </c>
      <c r="O4087" t="n">
        <v>0</v>
      </c>
      <c r="P4087" t="n">
        <v>0</v>
      </c>
      <c r="Q4087" t="n">
        <v>0</v>
      </c>
      <c r="R4087" s="2" t="inlineStr"/>
    </row>
    <row r="4088" ht="15" customHeight="1">
      <c r="A4088" t="inlineStr">
        <is>
          <t>A 12245-2023</t>
        </is>
      </c>
      <c r="B4088" s="1" t="n">
        <v>44998.64402777778</v>
      </c>
      <c r="C4088" s="1" t="n">
        <v>45952</v>
      </c>
      <c r="D4088" t="inlineStr">
        <is>
          <t>ÖREBRO LÄN</t>
        </is>
      </c>
      <c r="E4088" t="inlineStr">
        <is>
          <t>ÖREBRO</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50377-2024</t>
        </is>
      </c>
      <c r="B4089" s="1" t="n">
        <v>45601.29576388889</v>
      </c>
      <c r="C4089" s="1" t="n">
        <v>45952</v>
      </c>
      <c r="D4089" t="inlineStr">
        <is>
          <t>ÖREBRO LÄN</t>
        </is>
      </c>
      <c r="E4089" t="inlineStr">
        <is>
          <t>DEGERFORS</t>
        </is>
      </c>
      <c r="F4089" t="inlineStr">
        <is>
          <t>Sveaskog</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4103-2025</t>
        </is>
      </c>
      <c r="B4090" s="1" t="n">
        <v>45684.68855324074</v>
      </c>
      <c r="C4090" s="1" t="n">
        <v>45952</v>
      </c>
      <c r="D4090" t="inlineStr">
        <is>
          <t>ÖREBRO LÄN</t>
        </is>
      </c>
      <c r="E4090" t="inlineStr">
        <is>
          <t>KUMLA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37054-2025</t>
        </is>
      </c>
      <c r="B4091" s="1" t="n">
        <v>45875.36756944445</v>
      </c>
      <c r="C4091" s="1" t="n">
        <v>45952</v>
      </c>
      <c r="D4091" t="inlineStr">
        <is>
          <t>ÖREBRO LÄN</t>
        </is>
      </c>
      <c r="E4091" t="inlineStr">
        <is>
          <t>HALLSBERG</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36824-2025</t>
        </is>
      </c>
      <c r="B4092" s="1" t="n">
        <v>45874.29803240741</v>
      </c>
      <c r="C4092" s="1" t="n">
        <v>45952</v>
      </c>
      <c r="D4092" t="inlineStr">
        <is>
          <t>ÖREBRO LÄN</t>
        </is>
      </c>
      <c r="E4092" t="inlineStr">
        <is>
          <t>HALLSBERG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37150-2025</t>
        </is>
      </c>
      <c r="B4093" s="1" t="n">
        <v>45875.5734837963</v>
      </c>
      <c r="C4093" s="1" t="n">
        <v>45952</v>
      </c>
      <c r="D4093" t="inlineStr">
        <is>
          <t>ÖREBRO LÄN</t>
        </is>
      </c>
      <c r="E4093" t="inlineStr">
        <is>
          <t>KARLSKOGA</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32010-2025</t>
        </is>
      </c>
      <c r="B4094" s="1" t="n">
        <v>45835.39456018519</v>
      </c>
      <c r="C4094" s="1" t="n">
        <v>45952</v>
      </c>
      <c r="D4094" t="inlineStr">
        <is>
          <t>ÖREBRO LÄN</t>
        </is>
      </c>
      <c r="E4094" t="inlineStr">
        <is>
          <t>LJUSNARSBERG</t>
        </is>
      </c>
      <c r="F4094" t="inlineStr">
        <is>
          <t>Sveaskog</t>
        </is>
      </c>
      <c r="G4094" t="n">
        <v>4.5</v>
      </c>
      <c r="H4094" t="n">
        <v>0</v>
      </c>
      <c r="I4094" t="n">
        <v>0</v>
      </c>
      <c r="J4094" t="n">
        <v>0</v>
      </c>
      <c r="K4094" t="n">
        <v>0</v>
      </c>
      <c r="L4094" t="n">
        <v>0</v>
      </c>
      <c r="M4094" t="n">
        <v>0</v>
      </c>
      <c r="N4094" t="n">
        <v>0</v>
      </c>
      <c r="O4094" t="n">
        <v>0</v>
      </c>
      <c r="P4094" t="n">
        <v>0</v>
      </c>
      <c r="Q4094" t="n">
        <v>0</v>
      </c>
      <c r="R4094" s="2" t="inlineStr"/>
    </row>
    <row r="4095" ht="15" customHeight="1">
      <c r="A4095" t="inlineStr">
        <is>
          <t>A 44305-2025</t>
        </is>
      </c>
      <c r="B4095" s="1" t="n">
        <v>45916.37457175926</v>
      </c>
      <c r="C4095" s="1" t="n">
        <v>45952</v>
      </c>
      <c r="D4095" t="inlineStr">
        <is>
          <t>ÖREBRO LÄN</t>
        </is>
      </c>
      <c r="E4095" t="inlineStr">
        <is>
          <t>HALLSBERG</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41524-2024</t>
        </is>
      </c>
      <c r="B4096" s="1" t="n">
        <v>45560.48070601852</v>
      </c>
      <c r="C4096" s="1" t="n">
        <v>45952</v>
      </c>
      <c r="D4096" t="inlineStr">
        <is>
          <t>ÖREBRO LÄN</t>
        </is>
      </c>
      <c r="E4096" t="inlineStr">
        <is>
          <t>LAXÅ</t>
        </is>
      </c>
      <c r="F4096" t="inlineStr">
        <is>
          <t>Sveaskog</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44400-2025</t>
        </is>
      </c>
      <c r="B4097" s="1" t="n">
        <v>45916.5037037037</v>
      </c>
      <c r="C4097" s="1" t="n">
        <v>45952</v>
      </c>
      <c r="D4097" t="inlineStr">
        <is>
          <t>ÖREBRO LÄN</t>
        </is>
      </c>
      <c r="E4097" t="inlineStr">
        <is>
          <t>HÄLLEFORS</t>
        </is>
      </c>
      <c r="F4097" t="inlineStr">
        <is>
          <t>Bergvik skog väst AB</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11988-2025</t>
        </is>
      </c>
      <c r="B4098" s="1" t="n">
        <v>45728.60030092593</v>
      </c>
      <c r="C4098" s="1" t="n">
        <v>45952</v>
      </c>
      <c r="D4098" t="inlineStr">
        <is>
          <t>ÖREBRO LÄN</t>
        </is>
      </c>
      <c r="E4098" t="inlineStr">
        <is>
          <t>HALLSBERG</t>
        </is>
      </c>
      <c r="F4098" t="inlineStr">
        <is>
          <t>Sveaskog</t>
        </is>
      </c>
      <c r="G4098" t="n">
        <v>3.5</v>
      </c>
      <c r="H4098" t="n">
        <v>0</v>
      </c>
      <c r="I4098" t="n">
        <v>0</v>
      </c>
      <c r="J4098" t="n">
        <v>0</v>
      </c>
      <c r="K4098" t="n">
        <v>0</v>
      </c>
      <c r="L4098" t="n">
        <v>0</v>
      </c>
      <c r="M4098" t="n">
        <v>0</v>
      </c>
      <c r="N4098" t="n">
        <v>0</v>
      </c>
      <c r="O4098" t="n">
        <v>0</v>
      </c>
      <c r="P4098" t="n">
        <v>0</v>
      </c>
      <c r="Q4098" t="n">
        <v>0</v>
      </c>
      <c r="R4098" s="2" t="inlineStr"/>
    </row>
    <row r="4099" ht="15" customHeight="1">
      <c r="A4099" t="inlineStr">
        <is>
          <t>A 8059-2024</t>
        </is>
      </c>
      <c r="B4099" s="1" t="n">
        <v>45351</v>
      </c>
      <c r="C4099" s="1" t="n">
        <v>45952</v>
      </c>
      <c r="D4099" t="inlineStr">
        <is>
          <t>ÖREBRO LÄN</t>
        </is>
      </c>
      <c r="E4099" t="inlineStr">
        <is>
          <t>DEGERFORS</t>
        </is>
      </c>
      <c r="F4099" t="inlineStr">
        <is>
          <t>Sveaskog</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54649-2023</t>
        </is>
      </c>
      <c r="B4100" s="1" t="n">
        <v>45235</v>
      </c>
      <c r="C4100" s="1" t="n">
        <v>45952</v>
      </c>
      <c r="D4100" t="inlineStr">
        <is>
          <t>ÖREBRO LÄN</t>
        </is>
      </c>
      <c r="E4100" t="inlineStr">
        <is>
          <t>ASKERSUND</t>
        </is>
      </c>
      <c r="F4100" t="inlineStr">
        <is>
          <t>Sveaskog</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54640-2023</t>
        </is>
      </c>
      <c r="B4101" s="1" t="n">
        <v>45234</v>
      </c>
      <c r="C4101" s="1" t="n">
        <v>45952</v>
      </c>
      <c r="D4101" t="inlineStr">
        <is>
          <t>ÖREBRO LÄN</t>
        </is>
      </c>
      <c r="E4101" t="inlineStr">
        <is>
          <t>LAXÅ</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44679-2025</t>
        </is>
      </c>
      <c r="B4102" s="1" t="n">
        <v>45917</v>
      </c>
      <c r="C4102" s="1" t="n">
        <v>45952</v>
      </c>
      <c r="D4102" t="inlineStr">
        <is>
          <t>ÖREBRO LÄN</t>
        </is>
      </c>
      <c r="E4102" t="inlineStr">
        <is>
          <t>ASKERSUND</t>
        </is>
      </c>
      <c r="G4102" t="n">
        <v>4.1</v>
      </c>
      <c r="H4102" t="n">
        <v>0</v>
      </c>
      <c r="I4102" t="n">
        <v>0</v>
      </c>
      <c r="J4102" t="n">
        <v>0</v>
      </c>
      <c r="K4102" t="n">
        <v>0</v>
      </c>
      <c r="L4102" t="n">
        <v>0</v>
      </c>
      <c r="M4102" t="n">
        <v>0</v>
      </c>
      <c r="N4102" t="n">
        <v>0</v>
      </c>
      <c r="O4102" t="n">
        <v>0</v>
      </c>
      <c r="P4102" t="n">
        <v>0</v>
      </c>
      <c r="Q4102" t="n">
        <v>0</v>
      </c>
      <c r="R4102" s="2" t="inlineStr"/>
    </row>
    <row r="4103" ht="15" customHeight="1">
      <c r="A4103" t="inlineStr">
        <is>
          <t>A 39872-2024</t>
        </is>
      </c>
      <c r="B4103" s="1" t="n">
        <v>45553</v>
      </c>
      <c r="C4103" s="1" t="n">
        <v>45952</v>
      </c>
      <c r="D4103" t="inlineStr">
        <is>
          <t>ÖREBRO LÄN</t>
        </is>
      </c>
      <c r="E4103" t="inlineStr">
        <is>
          <t>LEKEBERG</t>
        </is>
      </c>
      <c r="F4103" t="inlineStr">
        <is>
          <t>Sveaskog</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44479-2025</t>
        </is>
      </c>
      <c r="B4104" s="1" t="n">
        <v>45916.64740740741</v>
      </c>
      <c r="C4104" s="1" t="n">
        <v>45952</v>
      </c>
      <c r="D4104" t="inlineStr">
        <is>
          <t>ÖREBRO LÄN</t>
        </is>
      </c>
      <c r="E4104" t="inlineStr">
        <is>
          <t>LJUSNARSBERG</t>
        </is>
      </c>
      <c r="F4104" t="inlineStr">
        <is>
          <t>Bergvik skog väst AB</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36859-2025</t>
        </is>
      </c>
      <c r="B4105" s="1" t="n">
        <v>45874.40503472222</v>
      </c>
      <c r="C4105" s="1" t="n">
        <v>45952</v>
      </c>
      <c r="D4105" t="inlineStr">
        <is>
          <t>ÖREBRO LÄN</t>
        </is>
      </c>
      <c r="E4105" t="inlineStr">
        <is>
          <t>LINDESBERG</t>
        </is>
      </c>
      <c r="F4105" t="inlineStr">
        <is>
          <t>Övriga Aktiebolag</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18645-2023</t>
        </is>
      </c>
      <c r="B4106" s="1" t="n">
        <v>45043</v>
      </c>
      <c r="C4106" s="1" t="n">
        <v>45952</v>
      </c>
      <c r="D4106" t="inlineStr">
        <is>
          <t>ÖREBRO LÄN</t>
        </is>
      </c>
      <c r="E4106" t="inlineStr">
        <is>
          <t>LEKEBERG</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29444-2024</t>
        </is>
      </c>
      <c r="B4107" s="1" t="n">
        <v>45483.86464120371</v>
      </c>
      <c r="C4107" s="1" t="n">
        <v>45952</v>
      </c>
      <c r="D4107" t="inlineStr">
        <is>
          <t>ÖREBRO LÄN</t>
        </is>
      </c>
      <c r="E4107" t="inlineStr">
        <is>
          <t>LEKEBERG</t>
        </is>
      </c>
      <c r="G4107" t="n">
        <v>4</v>
      </c>
      <c r="H4107" t="n">
        <v>0</v>
      </c>
      <c r="I4107" t="n">
        <v>0</v>
      </c>
      <c r="J4107" t="n">
        <v>0</v>
      </c>
      <c r="K4107" t="n">
        <v>0</v>
      </c>
      <c r="L4107" t="n">
        <v>0</v>
      </c>
      <c r="M4107" t="n">
        <v>0</v>
      </c>
      <c r="N4107" t="n">
        <v>0</v>
      </c>
      <c r="O4107" t="n">
        <v>0</v>
      </c>
      <c r="P4107" t="n">
        <v>0</v>
      </c>
      <c r="Q4107" t="n">
        <v>0</v>
      </c>
      <c r="R4107" s="2" t="inlineStr"/>
    </row>
    <row r="4108" ht="15" customHeight="1">
      <c r="A4108" t="inlineStr">
        <is>
          <t>A 13893-2024</t>
        </is>
      </c>
      <c r="B4108" s="1" t="n">
        <v>45391.63415509259</v>
      </c>
      <c r="C4108" s="1" t="n">
        <v>45952</v>
      </c>
      <c r="D4108" t="inlineStr">
        <is>
          <t>ÖREBRO LÄN</t>
        </is>
      </c>
      <c r="E4108" t="inlineStr">
        <is>
          <t>ASKERSUND</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35470-2024</t>
        </is>
      </c>
      <c r="B4109" s="1" t="n">
        <v>45531.46973379629</v>
      </c>
      <c r="C4109" s="1" t="n">
        <v>45952</v>
      </c>
      <c r="D4109" t="inlineStr">
        <is>
          <t>ÖREBRO LÄN</t>
        </is>
      </c>
      <c r="E4109" t="inlineStr">
        <is>
          <t>KARLSKOGA</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37048-2025</t>
        </is>
      </c>
      <c r="B4110" s="1" t="n">
        <v>45875.35450231482</v>
      </c>
      <c r="C4110" s="1" t="n">
        <v>45952</v>
      </c>
      <c r="D4110" t="inlineStr">
        <is>
          <t>ÖREBRO LÄN</t>
        </is>
      </c>
      <c r="E4110" t="inlineStr">
        <is>
          <t>HALLSBERG</t>
        </is>
      </c>
      <c r="G4110" t="n">
        <v>7</v>
      </c>
      <c r="H4110" t="n">
        <v>0</v>
      </c>
      <c r="I4110" t="n">
        <v>0</v>
      </c>
      <c r="J4110" t="n">
        <v>0</v>
      </c>
      <c r="K4110" t="n">
        <v>0</v>
      </c>
      <c r="L4110" t="n">
        <v>0</v>
      </c>
      <c r="M4110" t="n">
        <v>0</v>
      </c>
      <c r="N4110" t="n">
        <v>0</v>
      </c>
      <c r="O4110" t="n">
        <v>0</v>
      </c>
      <c r="P4110" t="n">
        <v>0</v>
      </c>
      <c r="Q4110" t="n">
        <v>0</v>
      </c>
      <c r="R4110" s="2" t="inlineStr"/>
    </row>
    <row r="4111" ht="15" customHeight="1">
      <c r="A4111" t="inlineStr">
        <is>
          <t>A 37059-2025</t>
        </is>
      </c>
      <c r="B4111" s="1" t="n">
        <v>45875.37520833333</v>
      </c>
      <c r="C4111" s="1" t="n">
        <v>45952</v>
      </c>
      <c r="D4111" t="inlineStr">
        <is>
          <t>ÖREBRO LÄN</t>
        </is>
      </c>
      <c r="E4111" t="inlineStr">
        <is>
          <t>HALLSBERG</t>
        </is>
      </c>
      <c r="G4111" t="n">
        <v>8.199999999999999</v>
      </c>
      <c r="H4111" t="n">
        <v>0</v>
      </c>
      <c r="I4111" t="n">
        <v>0</v>
      </c>
      <c r="J4111" t="n">
        <v>0</v>
      </c>
      <c r="K4111" t="n">
        <v>0</v>
      </c>
      <c r="L4111" t="n">
        <v>0</v>
      </c>
      <c r="M4111" t="n">
        <v>0</v>
      </c>
      <c r="N4111" t="n">
        <v>0</v>
      </c>
      <c r="O4111" t="n">
        <v>0</v>
      </c>
      <c r="P4111" t="n">
        <v>0</v>
      </c>
      <c r="Q4111" t="n">
        <v>0</v>
      </c>
      <c r="R4111" s="2" t="inlineStr"/>
    </row>
    <row r="4112" ht="15" customHeight="1">
      <c r="A4112" t="inlineStr">
        <is>
          <t>A 58052-2023</t>
        </is>
      </c>
      <c r="B4112" s="1" t="n">
        <v>45245</v>
      </c>
      <c r="C4112" s="1" t="n">
        <v>45952</v>
      </c>
      <c r="D4112" t="inlineStr">
        <is>
          <t>ÖREBRO LÄN</t>
        </is>
      </c>
      <c r="E4112" t="inlineStr">
        <is>
          <t>LAXÅ</t>
        </is>
      </c>
      <c r="G4112" t="n">
        <v>6.5</v>
      </c>
      <c r="H4112" t="n">
        <v>0</v>
      </c>
      <c r="I4112" t="n">
        <v>0</v>
      </c>
      <c r="J4112" t="n">
        <v>0</v>
      </c>
      <c r="K4112" t="n">
        <v>0</v>
      </c>
      <c r="L4112" t="n">
        <v>0</v>
      </c>
      <c r="M4112" t="n">
        <v>0</v>
      </c>
      <c r="N4112" t="n">
        <v>0</v>
      </c>
      <c r="O4112" t="n">
        <v>0</v>
      </c>
      <c r="P4112" t="n">
        <v>0</v>
      </c>
      <c r="Q4112" t="n">
        <v>0</v>
      </c>
      <c r="R4112" s="2" t="inlineStr"/>
    </row>
    <row r="4113" ht="15" customHeight="1">
      <c r="A4113" t="inlineStr">
        <is>
          <t>A 33258-2025</t>
        </is>
      </c>
      <c r="B4113" s="1" t="n">
        <v>45840.67255787037</v>
      </c>
      <c r="C4113" s="1" t="n">
        <v>45952</v>
      </c>
      <c r="D4113" t="inlineStr">
        <is>
          <t>ÖREBRO LÄN</t>
        </is>
      </c>
      <c r="E4113" t="inlineStr">
        <is>
          <t>ASKERSUND</t>
        </is>
      </c>
      <c r="G4113" t="n">
        <v>17.3</v>
      </c>
      <c r="H4113" t="n">
        <v>0</v>
      </c>
      <c r="I4113" t="n">
        <v>0</v>
      </c>
      <c r="J4113" t="n">
        <v>0</v>
      </c>
      <c r="K4113" t="n">
        <v>0</v>
      </c>
      <c r="L4113" t="n">
        <v>0</v>
      </c>
      <c r="M4113" t="n">
        <v>0</v>
      </c>
      <c r="N4113" t="n">
        <v>0</v>
      </c>
      <c r="O4113" t="n">
        <v>0</v>
      </c>
      <c r="P4113" t="n">
        <v>0</v>
      </c>
      <c r="Q4113" t="n">
        <v>0</v>
      </c>
      <c r="R4113" s="2" t="inlineStr"/>
    </row>
    <row r="4114" ht="15" customHeight="1">
      <c r="A4114" t="inlineStr">
        <is>
          <t>A 37049-2025</t>
        </is>
      </c>
      <c r="B4114" s="1" t="n">
        <v>45875.36108796296</v>
      </c>
      <c r="C4114" s="1" t="n">
        <v>45952</v>
      </c>
      <c r="D4114" t="inlineStr">
        <is>
          <t>ÖREBRO LÄN</t>
        </is>
      </c>
      <c r="E4114" t="inlineStr">
        <is>
          <t>HALLSBERG</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44642-2025</t>
        </is>
      </c>
      <c r="B4115" s="1" t="n">
        <v>45917.52719907407</v>
      </c>
      <c r="C4115" s="1" t="n">
        <v>45952</v>
      </c>
      <c r="D4115" t="inlineStr">
        <is>
          <t>ÖREBRO LÄN</t>
        </is>
      </c>
      <c r="E4115" t="inlineStr">
        <is>
          <t>DEGERFORS</t>
        </is>
      </c>
      <c r="G4115" t="n">
        <v>4.2</v>
      </c>
      <c r="H4115" t="n">
        <v>0</v>
      </c>
      <c r="I4115" t="n">
        <v>0</v>
      </c>
      <c r="J4115" t="n">
        <v>0</v>
      </c>
      <c r="K4115" t="n">
        <v>0</v>
      </c>
      <c r="L4115" t="n">
        <v>0</v>
      </c>
      <c r="M4115" t="n">
        <v>0</v>
      </c>
      <c r="N4115" t="n">
        <v>0</v>
      </c>
      <c r="O4115" t="n">
        <v>0</v>
      </c>
      <c r="P4115" t="n">
        <v>0</v>
      </c>
      <c r="Q4115" t="n">
        <v>0</v>
      </c>
      <c r="R4115" s="2" t="inlineStr"/>
    </row>
    <row r="4116" ht="15" customHeight="1">
      <c r="A4116" t="inlineStr">
        <is>
          <t>A 21682-2021</t>
        </is>
      </c>
      <c r="B4116" s="1" t="n">
        <v>44322.41228009259</v>
      </c>
      <c r="C4116" s="1" t="n">
        <v>45952</v>
      </c>
      <c r="D4116" t="inlineStr">
        <is>
          <t>ÖREBRO LÄN</t>
        </is>
      </c>
      <c r="E4116" t="inlineStr">
        <is>
          <t>KARLSKOGA</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44545-2025</t>
        </is>
      </c>
      <c r="B4117" s="1" t="n">
        <v>45917.31780092593</v>
      </c>
      <c r="C4117" s="1" t="n">
        <v>45952</v>
      </c>
      <c r="D4117" t="inlineStr">
        <is>
          <t>ÖREBRO LÄN</t>
        </is>
      </c>
      <c r="E4117" t="inlineStr">
        <is>
          <t>LINDESBERG</t>
        </is>
      </c>
      <c r="F4117" t="inlineStr">
        <is>
          <t>Kommuner</t>
        </is>
      </c>
      <c r="G4117" t="n">
        <v>2.3</v>
      </c>
      <c r="H4117" t="n">
        <v>0</v>
      </c>
      <c r="I4117" t="n">
        <v>0</v>
      </c>
      <c r="J4117" t="n">
        <v>0</v>
      </c>
      <c r="K4117" t="n">
        <v>0</v>
      </c>
      <c r="L4117" t="n">
        <v>0</v>
      </c>
      <c r="M4117" t="n">
        <v>0</v>
      </c>
      <c r="N4117" t="n">
        <v>0</v>
      </c>
      <c r="O4117" t="n">
        <v>0</v>
      </c>
      <c r="P4117" t="n">
        <v>0</v>
      </c>
      <c r="Q4117" t="n">
        <v>0</v>
      </c>
      <c r="R4117" s="2" t="inlineStr"/>
    </row>
    <row r="4118" ht="15" customHeight="1">
      <c r="A4118" t="inlineStr">
        <is>
          <t>A 36544-2024</t>
        </is>
      </c>
      <c r="B4118" s="1" t="n">
        <v>45537.46501157407</v>
      </c>
      <c r="C4118" s="1" t="n">
        <v>45952</v>
      </c>
      <c r="D4118" t="inlineStr">
        <is>
          <t>ÖREBRO LÄN</t>
        </is>
      </c>
      <c r="E4118" t="inlineStr">
        <is>
          <t>LAXÅ</t>
        </is>
      </c>
      <c r="F4118" t="inlineStr">
        <is>
          <t>Sveaskog</t>
        </is>
      </c>
      <c r="G4118" t="n">
        <v>2.3</v>
      </c>
      <c r="H4118" t="n">
        <v>0</v>
      </c>
      <c r="I4118" t="n">
        <v>0</v>
      </c>
      <c r="J4118" t="n">
        <v>0</v>
      </c>
      <c r="K4118" t="n">
        <v>0</v>
      </c>
      <c r="L4118" t="n">
        <v>0</v>
      </c>
      <c r="M4118" t="n">
        <v>0</v>
      </c>
      <c r="N4118" t="n">
        <v>0</v>
      </c>
      <c r="O4118" t="n">
        <v>0</v>
      </c>
      <c r="P4118" t="n">
        <v>0</v>
      </c>
      <c r="Q4118" t="n">
        <v>0</v>
      </c>
      <c r="R4118" s="2" t="inlineStr"/>
    </row>
    <row r="4119" ht="15" customHeight="1">
      <c r="A4119" t="inlineStr">
        <is>
          <t>A 36553-2024</t>
        </is>
      </c>
      <c r="B4119" s="1" t="n">
        <v>45537.46827546296</v>
      </c>
      <c r="C4119" s="1" t="n">
        <v>45952</v>
      </c>
      <c r="D4119" t="inlineStr">
        <is>
          <t>ÖREBRO LÄN</t>
        </is>
      </c>
      <c r="E4119" t="inlineStr">
        <is>
          <t>LAXÅ</t>
        </is>
      </c>
      <c r="F4119" t="inlineStr">
        <is>
          <t>Sveaskog</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29554-2025</t>
        </is>
      </c>
      <c r="B4120" s="1" t="n">
        <v>45825</v>
      </c>
      <c r="C4120" s="1" t="n">
        <v>45952</v>
      </c>
      <c r="D4120" t="inlineStr">
        <is>
          <t>ÖREBRO LÄN</t>
        </is>
      </c>
      <c r="E4120" t="inlineStr">
        <is>
          <t>ÖREBRO</t>
        </is>
      </c>
      <c r="F4120" t="inlineStr">
        <is>
          <t>Övriga Aktiebolag</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54006-2023</t>
        </is>
      </c>
      <c r="B4121" s="1" t="n">
        <v>45231.68974537037</v>
      </c>
      <c r="C4121" s="1" t="n">
        <v>45952</v>
      </c>
      <c r="D4121" t="inlineStr">
        <is>
          <t>ÖREBRO LÄN</t>
        </is>
      </c>
      <c r="E4121" t="inlineStr">
        <is>
          <t>ASKERSUND</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45045-2025</t>
        </is>
      </c>
      <c r="B4122" s="1" t="n">
        <v>45919.26885416666</v>
      </c>
      <c r="C4122" s="1" t="n">
        <v>45952</v>
      </c>
      <c r="D4122" t="inlineStr">
        <is>
          <t>ÖREBRO LÄN</t>
        </is>
      </c>
      <c r="E4122" t="inlineStr">
        <is>
          <t>LJUSNARSBERG</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44735-2021</t>
        </is>
      </c>
      <c r="B4123" s="1" t="n">
        <v>44438</v>
      </c>
      <c r="C4123" s="1" t="n">
        <v>45952</v>
      </c>
      <c r="D4123" t="inlineStr">
        <is>
          <t>ÖREBRO LÄN</t>
        </is>
      </c>
      <c r="E4123" t="inlineStr">
        <is>
          <t>DEGERFORS</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37224-2025</t>
        </is>
      </c>
      <c r="B4124" s="1" t="n">
        <v>45876</v>
      </c>
      <c r="C4124" s="1" t="n">
        <v>45952</v>
      </c>
      <c r="D4124" t="inlineStr">
        <is>
          <t>ÖREBRO LÄN</t>
        </is>
      </c>
      <c r="E4124" t="inlineStr">
        <is>
          <t>ASKERSUND</t>
        </is>
      </c>
      <c r="G4124" t="n">
        <v>3.5</v>
      </c>
      <c r="H4124" t="n">
        <v>0</v>
      </c>
      <c r="I4124" t="n">
        <v>0</v>
      </c>
      <c r="J4124" t="n">
        <v>0</v>
      </c>
      <c r="K4124" t="n">
        <v>0</v>
      </c>
      <c r="L4124" t="n">
        <v>0</v>
      </c>
      <c r="M4124" t="n">
        <v>0</v>
      </c>
      <c r="N4124" t="n">
        <v>0</v>
      </c>
      <c r="O4124" t="n">
        <v>0</v>
      </c>
      <c r="P4124" t="n">
        <v>0</v>
      </c>
      <c r="Q4124" t="n">
        <v>0</v>
      </c>
      <c r="R4124" s="2" t="inlineStr"/>
    </row>
    <row r="4125" ht="15" customHeight="1">
      <c r="A4125" t="inlineStr">
        <is>
          <t>A 37232-2025</t>
        </is>
      </c>
      <c r="B4125" s="1" t="n">
        <v>45876.34452546296</v>
      </c>
      <c r="C4125" s="1" t="n">
        <v>45952</v>
      </c>
      <c r="D4125" t="inlineStr">
        <is>
          <t>ÖREBRO LÄN</t>
        </is>
      </c>
      <c r="E4125" t="inlineStr">
        <is>
          <t>HÄLLEFORS</t>
        </is>
      </c>
      <c r="F4125" t="inlineStr">
        <is>
          <t>Bergvik skog väst AB</t>
        </is>
      </c>
      <c r="G4125" t="n">
        <v>3.1</v>
      </c>
      <c r="H4125" t="n">
        <v>0</v>
      </c>
      <c r="I4125" t="n">
        <v>0</v>
      </c>
      <c r="J4125" t="n">
        <v>0</v>
      </c>
      <c r="K4125" t="n">
        <v>0</v>
      </c>
      <c r="L4125" t="n">
        <v>0</v>
      </c>
      <c r="M4125" t="n">
        <v>0</v>
      </c>
      <c r="N4125" t="n">
        <v>0</v>
      </c>
      <c r="O4125" t="n">
        <v>0</v>
      </c>
      <c r="P4125" t="n">
        <v>0</v>
      </c>
      <c r="Q4125" t="n">
        <v>0</v>
      </c>
      <c r="R4125" s="2" t="inlineStr"/>
    </row>
    <row r="4126" ht="15" customHeight="1">
      <c r="A4126" t="inlineStr">
        <is>
          <t>A 37323-2025</t>
        </is>
      </c>
      <c r="B4126" s="1" t="n">
        <v>45876.62699074074</v>
      </c>
      <c r="C4126" s="1" t="n">
        <v>45952</v>
      </c>
      <c r="D4126" t="inlineStr">
        <is>
          <t>ÖREBRO LÄN</t>
        </is>
      </c>
      <c r="E4126" t="inlineStr">
        <is>
          <t>HALLSBERG</t>
        </is>
      </c>
      <c r="F4126" t="inlineStr">
        <is>
          <t>Sveaskog</t>
        </is>
      </c>
      <c r="G4126" t="n">
        <v>1.6</v>
      </c>
      <c r="H4126" t="n">
        <v>0</v>
      </c>
      <c r="I4126" t="n">
        <v>0</v>
      </c>
      <c r="J4126" t="n">
        <v>0</v>
      </c>
      <c r="K4126" t="n">
        <v>0</v>
      </c>
      <c r="L4126" t="n">
        <v>0</v>
      </c>
      <c r="M4126" t="n">
        <v>0</v>
      </c>
      <c r="N4126" t="n">
        <v>0</v>
      </c>
      <c r="O4126" t="n">
        <v>0</v>
      </c>
      <c r="P4126" t="n">
        <v>0</v>
      </c>
      <c r="Q4126" t="n">
        <v>0</v>
      </c>
      <c r="R4126" s="2" t="inlineStr"/>
    </row>
    <row r="4127" ht="15" customHeight="1">
      <c r="A4127" t="inlineStr">
        <is>
          <t>A 37497-2025</t>
        </is>
      </c>
      <c r="B4127" s="1" t="n">
        <v>45877.64431712963</v>
      </c>
      <c r="C4127" s="1" t="n">
        <v>45952</v>
      </c>
      <c r="D4127" t="inlineStr">
        <is>
          <t>ÖREBRO LÄN</t>
        </is>
      </c>
      <c r="E4127" t="inlineStr">
        <is>
          <t>LINDESBERG</t>
        </is>
      </c>
      <c r="F4127" t="inlineStr">
        <is>
          <t>Sveaskog</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37490-2025</t>
        </is>
      </c>
      <c r="B4128" s="1" t="n">
        <v>45877.63989583333</v>
      </c>
      <c r="C4128" s="1" t="n">
        <v>45952</v>
      </c>
      <c r="D4128" t="inlineStr">
        <is>
          <t>ÖREBRO LÄN</t>
        </is>
      </c>
      <c r="E4128" t="inlineStr">
        <is>
          <t>LINDESBERG</t>
        </is>
      </c>
      <c r="F4128" t="inlineStr">
        <is>
          <t>Sveaskog</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37491-2025</t>
        </is>
      </c>
      <c r="B4129" s="1" t="n">
        <v>45877.64144675926</v>
      </c>
      <c r="C4129" s="1" t="n">
        <v>45952</v>
      </c>
      <c r="D4129" t="inlineStr">
        <is>
          <t>ÖREBRO LÄN</t>
        </is>
      </c>
      <c r="E4129" t="inlineStr">
        <is>
          <t>LINDESBERG</t>
        </is>
      </c>
      <c r="F4129" t="inlineStr">
        <is>
          <t>Sveaskog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37499-2025</t>
        </is>
      </c>
      <c r="B4130" s="1" t="n">
        <v>45877.64605324074</v>
      </c>
      <c r="C4130" s="1" t="n">
        <v>45952</v>
      </c>
      <c r="D4130" t="inlineStr">
        <is>
          <t>ÖREBRO LÄN</t>
        </is>
      </c>
      <c r="E4130" t="inlineStr">
        <is>
          <t>LINDESBERG</t>
        </is>
      </c>
      <c r="F4130" t="inlineStr">
        <is>
          <t>Sveaskog</t>
        </is>
      </c>
      <c r="G4130" t="n">
        <v>4</v>
      </c>
      <c r="H4130" t="n">
        <v>0</v>
      </c>
      <c r="I4130" t="n">
        <v>0</v>
      </c>
      <c r="J4130" t="n">
        <v>0</v>
      </c>
      <c r="K4130" t="n">
        <v>0</v>
      </c>
      <c r="L4130" t="n">
        <v>0</v>
      </c>
      <c r="M4130" t="n">
        <v>0</v>
      </c>
      <c r="N4130" t="n">
        <v>0</v>
      </c>
      <c r="O4130" t="n">
        <v>0</v>
      </c>
      <c r="P4130" t="n">
        <v>0</v>
      </c>
      <c r="Q4130" t="n">
        <v>0</v>
      </c>
      <c r="R4130" s="2" t="inlineStr"/>
    </row>
    <row r="4131" ht="15" customHeight="1">
      <c r="A4131" t="inlineStr">
        <is>
          <t>A 1395-2025</t>
        </is>
      </c>
      <c r="B4131" s="1" t="n">
        <v>45667</v>
      </c>
      <c r="C4131" s="1" t="n">
        <v>45952</v>
      </c>
      <c r="D4131" t="inlineStr">
        <is>
          <t>ÖREBRO LÄN</t>
        </is>
      </c>
      <c r="E4131" t="inlineStr">
        <is>
          <t>LINDESBERG</t>
        </is>
      </c>
      <c r="G4131" t="n">
        <v>4.6</v>
      </c>
      <c r="H4131" t="n">
        <v>0</v>
      </c>
      <c r="I4131" t="n">
        <v>0</v>
      </c>
      <c r="J4131" t="n">
        <v>0</v>
      </c>
      <c r="K4131" t="n">
        <v>0</v>
      </c>
      <c r="L4131" t="n">
        <v>0</v>
      </c>
      <c r="M4131" t="n">
        <v>0</v>
      </c>
      <c r="N4131" t="n">
        <v>0</v>
      </c>
      <c r="O4131" t="n">
        <v>0</v>
      </c>
      <c r="P4131" t="n">
        <v>0</v>
      </c>
      <c r="Q4131" t="n">
        <v>0</v>
      </c>
      <c r="R4131" s="2" t="inlineStr"/>
    </row>
    <row r="4132" ht="15" customHeight="1">
      <c r="A4132" t="inlineStr">
        <is>
          <t>A 1405-2025</t>
        </is>
      </c>
      <c r="B4132" s="1" t="n">
        <v>45667</v>
      </c>
      <c r="C4132" s="1" t="n">
        <v>45952</v>
      </c>
      <c r="D4132" t="inlineStr">
        <is>
          <t>ÖREBRO LÄN</t>
        </is>
      </c>
      <c r="E4132" t="inlineStr">
        <is>
          <t>LINDESBERG</t>
        </is>
      </c>
      <c r="F4132" t="inlineStr">
        <is>
          <t>Allmännings- och besparingsskogar</t>
        </is>
      </c>
      <c r="G4132" t="n">
        <v>3.1</v>
      </c>
      <c r="H4132" t="n">
        <v>0</v>
      </c>
      <c r="I4132" t="n">
        <v>0</v>
      </c>
      <c r="J4132" t="n">
        <v>0</v>
      </c>
      <c r="K4132" t="n">
        <v>0</v>
      </c>
      <c r="L4132" t="n">
        <v>0</v>
      </c>
      <c r="M4132" t="n">
        <v>0</v>
      </c>
      <c r="N4132" t="n">
        <v>0</v>
      </c>
      <c r="O4132" t="n">
        <v>0</v>
      </c>
      <c r="P4132" t="n">
        <v>0</v>
      </c>
      <c r="Q4132" t="n">
        <v>0</v>
      </c>
      <c r="R4132" s="2" t="inlineStr"/>
    </row>
    <row r="4133" ht="15" customHeight="1">
      <c r="A4133" t="inlineStr">
        <is>
          <t>A 37503-2025</t>
        </is>
      </c>
      <c r="B4133" s="1" t="n">
        <v>45877.65075231482</v>
      </c>
      <c r="C4133" s="1" t="n">
        <v>45952</v>
      </c>
      <c r="D4133" t="inlineStr">
        <is>
          <t>ÖREBRO LÄN</t>
        </is>
      </c>
      <c r="E4133" t="inlineStr">
        <is>
          <t>LINDESBERG</t>
        </is>
      </c>
      <c r="F4133" t="inlineStr">
        <is>
          <t>Sveaskog</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44875-2025</t>
        </is>
      </c>
      <c r="B4134" s="1" t="n">
        <v>45918.47043981482</v>
      </c>
      <c r="C4134" s="1" t="n">
        <v>45952</v>
      </c>
      <c r="D4134" t="inlineStr">
        <is>
          <t>ÖREBRO LÄN</t>
        </is>
      </c>
      <c r="E4134" t="inlineStr">
        <is>
          <t>ÖREBRO</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37501-2025</t>
        </is>
      </c>
      <c r="B4135" s="1" t="n">
        <v>45877.64847222222</v>
      </c>
      <c r="C4135" s="1" t="n">
        <v>45952</v>
      </c>
      <c r="D4135" t="inlineStr">
        <is>
          <t>ÖREBRO LÄN</t>
        </is>
      </c>
      <c r="E4135" t="inlineStr">
        <is>
          <t>LINDESBERG</t>
        </is>
      </c>
      <c r="F4135" t="inlineStr">
        <is>
          <t>Sveaskog</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34434-2023</t>
        </is>
      </c>
      <c r="B4136" s="1" t="n">
        <v>45139.63480324074</v>
      </c>
      <c r="C4136" s="1" t="n">
        <v>45952</v>
      </c>
      <c r="D4136" t="inlineStr">
        <is>
          <t>ÖREBRO LÄN</t>
        </is>
      </c>
      <c r="E4136" t="inlineStr">
        <is>
          <t>LINDESBERG</t>
        </is>
      </c>
      <c r="F4136" t="inlineStr">
        <is>
          <t>Kyrkan</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37228-2025</t>
        </is>
      </c>
      <c r="B4137" s="1" t="n">
        <v>45876.3007175926</v>
      </c>
      <c r="C4137" s="1" t="n">
        <v>45952</v>
      </c>
      <c r="D4137" t="inlineStr">
        <is>
          <t>ÖREBRO LÄN</t>
        </is>
      </c>
      <c r="E4137" t="inlineStr">
        <is>
          <t>HALLSBERG</t>
        </is>
      </c>
      <c r="G4137" t="n">
        <v>16.2</v>
      </c>
      <c r="H4137" t="n">
        <v>0</v>
      </c>
      <c r="I4137" t="n">
        <v>0</v>
      </c>
      <c r="J4137" t="n">
        <v>0</v>
      </c>
      <c r="K4137" t="n">
        <v>0</v>
      </c>
      <c r="L4137" t="n">
        <v>0</v>
      </c>
      <c r="M4137" t="n">
        <v>0</v>
      </c>
      <c r="N4137" t="n">
        <v>0</v>
      </c>
      <c r="O4137" t="n">
        <v>0</v>
      </c>
      <c r="P4137" t="n">
        <v>0</v>
      </c>
      <c r="Q4137" t="n">
        <v>0</v>
      </c>
      <c r="R4137" s="2" t="inlineStr"/>
    </row>
    <row r="4138" ht="15" customHeight="1">
      <c r="A4138" t="inlineStr">
        <is>
          <t>A 37226-2025</t>
        </is>
      </c>
      <c r="B4138" s="1" t="n">
        <v>45876</v>
      </c>
      <c r="C4138" s="1" t="n">
        <v>45952</v>
      </c>
      <c r="D4138" t="inlineStr">
        <is>
          <t>ÖREBRO LÄN</t>
        </is>
      </c>
      <c r="E4138" t="inlineStr">
        <is>
          <t>ASKERSUND</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37225-2025</t>
        </is>
      </c>
      <c r="B4139" s="1" t="n">
        <v>45876</v>
      </c>
      <c r="C4139" s="1" t="n">
        <v>45952</v>
      </c>
      <c r="D4139" t="inlineStr">
        <is>
          <t>ÖREBRO LÄN</t>
        </is>
      </c>
      <c r="E4139" t="inlineStr">
        <is>
          <t>ASKERSUND</t>
        </is>
      </c>
      <c r="G4139" t="n">
        <v>7.5</v>
      </c>
      <c r="H4139" t="n">
        <v>0</v>
      </c>
      <c r="I4139" t="n">
        <v>0</v>
      </c>
      <c r="J4139" t="n">
        <v>0</v>
      </c>
      <c r="K4139" t="n">
        <v>0</v>
      </c>
      <c r="L4139" t="n">
        <v>0</v>
      </c>
      <c r="M4139" t="n">
        <v>0</v>
      </c>
      <c r="N4139" t="n">
        <v>0</v>
      </c>
      <c r="O4139" t="n">
        <v>0</v>
      </c>
      <c r="P4139" t="n">
        <v>0</v>
      </c>
      <c r="Q4139" t="n">
        <v>0</v>
      </c>
      <c r="R4139" s="2" t="inlineStr"/>
    </row>
    <row r="4140" ht="15" customHeight="1">
      <c r="A4140" t="inlineStr">
        <is>
          <t>A 57548-2023</t>
        </is>
      </c>
      <c r="B4140" s="1" t="n">
        <v>45240</v>
      </c>
      <c r="C4140" s="1" t="n">
        <v>45952</v>
      </c>
      <c r="D4140" t="inlineStr">
        <is>
          <t>ÖREBRO LÄN</t>
        </is>
      </c>
      <c r="E4140" t="inlineStr">
        <is>
          <t>LAXÅ</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37500-2025</t>
        </is>
      </c>
      <c r="B4141" s="1" t="n">
        <v>45877.64776620371</v>
      </c>
      <c r="C4141" s="1" t="n">
        <v>45952</v>
      </c>
      <c r="D4141" t="inlineStr">
        <is>
          <t>ÖREBRO LÄN</t>
        </is>
      </c>
      <c r="E4141" t="inlineStr">
        <is>
          <t>LINDESBERG</t>
        </is>
      </c>
      <c r="F4141" t="inlineStr">
        <is>
          <t>Sveaskog</t>
        </is>
      </c>
      <c r="G4141" t="n">
        <v>2.8</v>
      </c>
      <c r="H4141" t="n">
        <v>0</v>
      </c>
      <c r="I4141" t="n">
        <v>0</v>
      </c>
      <c r="J4141" t="n">
        <v>0</v>
      </c>
      <c r="K4141" t="n">
        <v>0</v>
      </c>
      <c r="L4141" t="n">
        <v>0</v>
      </c>
      <c r="M4141" t="n">
        <v>0</v>
      </c>
      <c r="N4141" t="n">
        <v>0</v>
      </c>
      <c r="O4141" t="n">
        <v>0</v>
      </c>
      <c r="P4141" t="n">
        <v>0</v>
      </c>
      <c r="Q4141" t="n">
        <v>0</v>
      </c>
      <c r="R4141" s="2" t="inlineStr"/>
    </row>
    <row r="4142" ht="15" customHeight="1">
      <c r="A4142" t="inlineStr">
        <is>
          <t>A 45078-2024</t>
        </is>
      </c>
      <c r="B4142" s="1" t="n">
        <v>45575.57104166667</v>
      </c>
      <c r="C4142" s="1" t="n">
        <v>45952</v>
      </c>
      <c r="D4142" t="inlineStr">
        <is>
          <t>ÖREBRO LÄN</t>
        </is>
      </c>
      <c r="E4142" t="inlineStr">
        <is>
          <t>LINDESBERG</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10746-2023</t>
        </is>
      </c>
      <c r="B4143" s="1" t="n">
        <v>44988</v>
      </c>
      <c r="C4143" s="1" t="n">
        <v>45952</v>
      </c>
      <c r="D4143" t="inlineStr">
        <is>
          <t>ÖREBRO LÄN</t>
        </is>
      </c>
      <c r="E4143" t="inlineStr">
        <is>
          <t>LEKEBERG</t>
        </is>
      </c>
      <c r="F4143" t="inlineStr">
        <is>
          <t>Sveaskog</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9169-2022</t>
        </is>
      </c>
      <c r="B4144" s="1" t="n">
        <v>44615</v>
      </c>
      <c r="C4144" s="1" t="n">
        <v>45952</v>
      </c>
      <c r="D4144" t="inlineStr">
        <is>
          <t>ÖREBRO LÄN</t>
        </is>
      </c>
      <c r="E4144" t="inlineStr">
        <is>
          <t>ASKERSUND</t>
        </is>
      </c>
      <c r="G4144" t="n">
        <v>4.3</v>
      </c>
      <c r="H4144" t="n">
        <v>0</v>
      </c>
      <c r="I4144" t="n">
        <v>0</v>
      </c>
      <c r="J4144" t="n">
        <v>0</v>
      </c>
      <c r="K4144" t="n">
        <v>0</v>
      </c>
      <c r="L4144" t="n">
        <v>0</v>
      </c>
      <c r="M4144" t="n">
        <v>0</v>
      </c>
      <c r="N4144" t="n">
        <v>0</v>
      </c>
      <c r="O4144" t="n">
        <v>0</v>
      </c>
      <c r="P4144" t="n">
        <v>0</v>
      </c>
      <c r="Q4144" t="n">
        <v>0</v>
      </c>
      <c r="R4144" s="2" t="inlineStr"/>
    </row>
    <row r="4145" ht="15" customHeight="1">
      <c r="A4145" t="inlineStr">
        <is>
          <t>A 37333-2025</t>
        </is>
      </c>
      <c r="B4145" s="1" t="n">
        <v>45876.66482638889</v>
      </c>
      <c r="C4145" s="1" t="n">
        <v>45952</v>
      </c>
      <c r="D4145" t="inlineStr">
        <is>
          <t>ÖREBRO LÄN</t>
        </is>
      </c>
      <c r="E4145" t="inlineStr">
        <is>
          <t>DEGERFORS</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8008-2024</t>
        </is>
      </c>
      <c r="B4146" s="1" t="n">
        <v>45350.6794212963</v>
      </c>
      <c r="C4146" s="1" t="n">
        <v>45952</v>
      </c>
      <c r="D4146" t="inlineStr">
        <is>
          <t>ÖREBRO LÄN</t>
        </is>
      </c>
      <c r="E4146" t="inlineStr">
        <is>
          <t>ÖREBRO</t>
        </is>
      </c>
      <c r="G4146" t="n">
        <v>0.6</v>
      </c>
      <c r="H4146" t="n">
        <v>0</v>
      </c>
      <c r="I4146" t="n">
        <v>0</v>
      </c>
      <c r="J4146" t="n">
        <v>0</v>
      </c>
      <c r="K4146" t="n">
        <v>0</v>
      </c>
      <c r="L4146" t="n">
        <v>0</v>
      </c>
      <c r="M4146" t="n">
        <v>0</v>
      </c>
      <c r="N4146" t="n">
        <v>0</v>
      </c>
      <c r="O4146" t="n">
        <v>0</v>
      </c>
      <c r="P4146" t="n">
        <v>0</v>
      </c>
      <c r="Q4146" t="n">
        <v>0</v>
      </c>
      <c r="R4146" s="2" t="inlineStr"/>
    </row>
    <row r="4147" ht="15" customHeight="1">
      <c r="A4147" t="inlineStr">
        <is>
          <t>A 37265-2025</t>
        </is>
      </c>
      <c r="B4147" s="1" t="n">
        <v>45876.46099537037</v>
      </c>
      <c r="C4147" s="1" t="n">
        <v>45952</v>
      </c>
      <c r="D4147" t="inlineStr">
        <is>
          <t>ÖREBRO LÄN</t>
        </is>
      </c>
      <c r="E4147" t="inlineStr">
        <is>
          <t>DEGERFORS</t>
        </is>
      </c>
      <c r="G4147" t="n">
        <v>1.3</v>
      </c>
      <c r="H4147" t="n">
        <v>0</v>
      </c>
      <c r="I4147" t="n">
        <v>0</v>
      </c>
      <c r="J4147" t="n">
        <v>0</v>
      </c>
      <c r="K4147" t="n">
        <v>0</v>
      </c>
      <c r="L4147" t="n">
        <v>0</v>
      </c>
      <c r="M4147" t="n">
        <v>0</v>
      </c>
      <c r="N4147" t="n">
        <v>0</v>
      </c>
      <c r="O4147" t="n">
        <v>0</v>
      </c>
      <c r="P4147" t="n">
        <v>0</v>
      </c>
      <c r="Q4147" t="n">
        <v>0</v>
      </c>
      <c r="R4147" s="2" t="inlineStr"/>
    </row>
    <row r="4148" ht="15" customHeight="1">
      <c r="A4148" t="inlineStr">
        <is>
          <t>A 6828-2022</t>
        </is>
      </c>
      <c r="B4148" s="1" t="n">
        <v>44602.59796296297</v>
      </c>
      <c r="C4148" s="1" t="n">
        <v>45952</v>
      </c>
      <c r="D4148" t="inlineStr">
        <is>
          <t>ÖREBRO LÄN</t>
        </is>
      </c>
      <c r="E4148" t="inlineStr">
        <is>
          <t>ASKERSUND</t>
        </is>
      </c>
      <c r="G4148" t="n">
        <v>9.699999999999999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37301-2025</t>
        </is>
      </c>
      <c r="B4149" s="1" t="n">
        <v>45876.59166666667</v>
      </c>
      <c r="C4149" s="1" t="n">
        <v>45952</v>
      </c>
      <c r="D4149" t="inlineStr">
        <is>
          <t>ÖREBRO LÄN</t>
        </is>
      </c>
      <c r="E4149" t="inlineStr">
        <is>
          <t>LINDESBERG</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37321-2025</t>
        </is>
      </c>
      <c r="B4150" s="1" t="n">
        <v>45876.62380787037</v>
      </c>
      <c r="C4150" s="1" t="n">
        <v>45952</v>
      </c>
      <c r="D4150" t="inlineStr">
        <is>
          <t>ÖREBRO LÄN</t>
        </is>
      </c>
      <c r="E4150" t="inlineStr">
        <is>
          <t>HALLSBERG</t>
        </is>
      </c>
      <c r="F4150" t="inlineStr">
        <is>
          <t>Sveaskog</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37492-2025</t>
        </is>
      </c>
      <c r="B4151" s="1" t="n">
        <v>45877.64230324074</v>
      </c>
      <c r="C4151" s="1" t="n">
        <v>45952</v>
      </c>
      <c r="D4151" t="inlineStr">
        <is>
          <t>ÖREBRO LÄN</t>
        </is>
      </c>
      <c r="E4151" t="inlineStr">
        <is>
          <t>LINDESBERG</t>
        </is>
      </c>
      <c r="F4151" t="inlineStr">
        <is>
          <t>Sveaskog</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29482-2023</t>
        </is>
      </c>
      <c r="B4152" s="1" t="n">
        <v>45106.57938657407</v>
      </c>
      <c r="C4152" s="1" t="n">
        <v>45952</v>
      </c>
      <c r="D4152" t="inlineStr">
        <is>
          <t>ÖREBRO LÄN</t>
        </is>
      </c>
      <c r="E4152" t="inlineStr">
        <is>
          <t>DEGERFORS</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39873-2024</t>
        </is>
      </c>
      <c r="B4153" s="1" t="n">
        <v>45553</v>
      </c>
      <c r="C4153" s="1" t="n">
        <v>45952</v>
      </c>
      <c r="D4153" t="inlineStr">
        <is>
          <t>ÖREBRO LÄN</t>
        </is>
      </c>
      <c r="E4153" t="inlineStr">
        <is>
          <t>LEKEBERG</t>
        </is>
      </c>
      <c r="F4153" t="inlineStr">
        <is>
          <t>Sveaskog</t>
        </is>
      </c>
      <c r="G4153" t="n">
        <v>3.2</v>
      </c>
      <c r="H4153" t="n">
        <v>0</v>
      </c>
      <c r="I4153" t="n">
        <v>0</v>
      </c>
      <c r="J4153" t="n">
        <v>0</v>
      </c>
      <c r="K4153" t="n">
        <v>0</v>
      </c>
      <c r="L4153" t="n">
        <v>0</v>
      </c>
      <c r="M4153" t="n">
        <v>0</v>
      </c>
      <c r="N4153" t="n">
        <v>0</v>
      </c>
      <c r="O4153" t="n">
        <v>0</v>
      </c>
      <c r="P4153" t="n">
        <v>0</v>
      </c>
      <c r="Q4153" t="n">
        <v>0</v>
      </c>
      <c r="R4153" s="2" t="inlineStr"/>
      <c r="U4153">
        <f>HYPERLINK("https://klasma.github.io/Logging_1814/knärot/A 39873-2024 karta knärot.png", "A 39873-2024")</f>
        <v/>
      </c>
      <c r="V4153">
        <f>HYPERLINK("https://klasma.github.io/Logging_1814/klagomål/A 39873-2024 FSC-klagomål.docx", "A 39873-2024")</f>
        <v/>
      </c>
      <c r="W4153">
        <f>HYPERLINK("https://klasma.github.io/Logging_1814/klagomålsmail/A 39873-2024 FSC-klagomål mail.docx", "A 39873-2024")</f>
        <v/>
      </c>
      <c r="X4153">
        <f>HYPERLINK("https://klasma.github.io/Logging_1814/tillsyn/A 39873-2024 tillsynsbegäran.docx", "A 39873-2024")</f>
        <v/>
      </c>
      <c r="Y4153">
        <f>HYPERLINK("https://klasma.github.io/Logging_1814/tillsynsmail/A 39873-2024 tillsynsbegäran mail.docx", "A 39873-2024")</f>
        <v/>
      </c>
    </row>
    <row r="4154" ht="15" customHeight="1">
      <c r="A4154" t="inlineStr">
        <is>
          <t>A 44949-2025</t>
        </is>
      </c>
      <c r="B4154" s="1" t="n">
        <v>45918.60568287037</v>
      </c>
      <c r="C4154" s="1" t="n">
        <v>45952</v>
      </c>
      <c r="D4154" t="inlineStr">
        <is>
          <t>ÖREBRO LÄN</t>
        </is>
      </c>
      <c r="E4154" t="inlineStr">
        <is>
          <t>KARLSKOGA</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37229-2025</t>
        </is>
      </c>
      <c r="B4155" s="1" t="n">
        <v>45876.30645833333</v>
      </c>
      <c r="C4155" s="1" t="n">
        <v>45952</v>
      </c>
      <c r="D4155" t="inlineStr">
        <is>
          <t>ÖREBRO LÄN</t>
        </is>
      </c>
      <c r="E4155" t="inlineStr">
        <is>
          <t>HALLSBERG</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44693-2025</t>
        </is>
      </c>
      <c r="B4156" s="1" t="n">
        <v>45917</v>
      </c>
      <c r="C4156" s="1" t="n">
        <v>45952</v>
      </c>
      <c r="D4156" t="inlineStr">
        <is>
          <t>ÖREBRO LÄN</t>
        </is>
      </c>
      <c r="E4156" t="inlineStr">
        <is>
          <t>HÄLLEFORS</t>
        </is>
      </c>
      <c r="G4156" t="n">
        <v>10.3</v>
      </c>
      <c r="H4156" t="n">
        <v>0</v>
      </c>
      <c r="I4156" t="n">
        <v>0</v>
      </c>
      <c r="J4156" t="n">
        <v>0</v>
      </c>
      <c r="K4156" t="n">
        <v>0</v>
      </c>
      <c r="L4156" t="n">
        <v>0</v>
      </c>
      <c r="M4156" t="n">
        <v>0</v>
      </c>
      <c r="N4156" t="n">
        <v>0</v>
      </c>
      <c r="O4156" t="n">
        <v>0</v>
      </c>
      <c r="P4156" t="n">
        <v>0</v>
      </c>
      <c r="Q4156" t="n">
        <v>0</v>
      </c>
      <c r="R4156" s="2" t="inlineStr"/>
    </row>
    <row r="4157" ht="15" customHeight="1">
      <c r="A4157" t="inlineStr">
        <is>
          <t>A 44946-2025</t>
        </is>
      </c>
      <c r="B4157" s="1" t="n">
        <v>45918.6046875</v>
      </c>
      <c r="C4157" s="1" t="n">
        <v>45952</v>
      </c>
      <c r="D4157" t="inlineStr">
        <is>
          <t>ÖREBRO LÄN</t>
        </is>
      </c>
      <c r="E4157" t="inlineStr">
        <is>
          <t>KARLSKOGA</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4468-2022</t>
        </is>
      </c>
      <c r="B4158" s="1" t="n">
        <v>44589</v>
      </c>
      <c r="C4158" s="1" t="n">
        <v>45952</v>
      </c>
      <c r="D4158" t="inlineStr">
        <is>
          <t>ÖREBRO LÄN</t>
        </is>
      </c>
      <c r="E4158" t="inlineStr">
        <is>
          <t>LEKEBERG</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46834-2022</t>
        </is>
      </c>
      <c r="B4159" s="1" t="n">
        <v>44851</v>
      </c>
      <c r="C4159" s="1" t="n">
        <v>45952</v>
      </c>
      <c r="D4159" t="inlineStr">
        <is>
          <t>ÖREBRO LÄN</t>
        </is>
      </c>
      <c r="E4159" t="inlineStr">
        <is>
          <t>ÖREBRO</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37332-2025</t>
        </is>
      </c>
      <c r="B4160" s="1" t="n">
        <v>45876.65920138889</v>
      </c>
      <c r="C4160" s="1" t="n">
        <v>45952</v>
      </c>
      <c r="D4160" t="inlineStr">
        <is>
          <t>ÖREBRO LÄN</t>
        </is>
      </c>
      <c r="E4160" t="inlineStr">
        <is>
          <t>KARLSKOGA</t>
        </is>
      </c>
      <c r="F4160" t="inlineStr">
        <is>
          <t>Kyrkan</t>
        </is>
      </c>
      <c r="G4160" t="n">
        <v>8.300000000000001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27935-2023</t>
        </is>
      </c>
      <c r="B4161" s="1" t="n">
        <v>45098.65641203704</v>
      </c>
      <c r="C4161" s="1" t="n">
        <v>45952</v>
      </c>
      <c r="D4161" t="inlineStr">
        <is>
          <t>ÖREBRO LÄN</t>
        </is>
      </c>
      <c r="E4161" t="inlineStr">
        <is>
          <t>HÄLLEFORS</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36444-2022</t>
        </is>
      </c>
      <c r="B4162" s="1" t="n">
        <v>44804.38798611111</v>
      </c>
      <c r="C4162" s="1" t="n">
        <v>45952</v>
      </c>
      <c r="D4162" t="inlineStr">
        <is>
          <t>ÖREBRO LÄN</t>
        </is>
      </c>
      <c r="E4162" t="inlineStr">
        <is>
          <t>LEKEBERG</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44960-2025</t>
        </is>
      </c>
      <c r="B4163" s="1" t="n">
        <v>45918.61577546296</v>
      </c>
      <c r="C4163" s="1" t="n">
        <v>45952</v>
      </c>
      <c r="D4163" t="inlineStr">
        <is>
          <t>ÖREBRO LÄN</t>
        </is>
      </c>
      <c r="E4163" t="inlineStr">
        <is>
          <t>ÖREBRO</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6723-2022</t>
        </is>
      </c>
      <c r="B4164" s="1" t="n">
        <v>44602.45162037037</v>
      </c>
      <c r="C4164" s="1" t="n">
        <v>45952</v>
      </c>
      <c r="D4164" t="inlineStr">
        <is>
          <t>ÖREBRO LÄN</t>
        </is>
      </c>
      <c r="E4164" t="inlineStr">
        <is>
          <t>LINDESBERG</t>
        </is>
      </c>
      <c r="G4164" t="n">
        <v>4.2</v>
      </c>
      <c r="H4164" t="n">
        <v>0</v>
      </c>
      <c r="I4164" t="n">
        <v>0</v>
      </c>
      <c r="J4164" t="n">
        <v>0</v>
      </c>
      <c r="K4164" t="n">
        <v>0</v>
      </c>
      <c r="L4164" t="n">
        <v>0</v>
      </c>
      <c r="M4164" t="n">
        <v>0</v>
      </c>
      <c r="N4164" t="n">
        <v>0</v>
      </c>
      <c r="O4164" t="n">
        <v>0</v>
      </c>
      <c r="P4164" t="n">
        <v>0</v>
      </c>
      <c r="Q4164" t="n">
        <v>0</v>
      </c>
      <c r="R4164" s="2" t="inlineStr"/>
    </row>
    <row r="4165" ht="15" customHeight="1">
      <c r="A4165" t="inlineStr">
        <is>
          <t>A 3789-2023</t>
        </is>
      </c>
      <c r="B4165" s="1" t="n">
        <v>44951</v>
      </c>
      <c r="C4165" s="1" t="n">
        <v>45952</v>
      </c>
      <c r="D4165" t="inlineStr">
        <is>
          <t>ÖREBRO LÄN</t>
        </is>
      </c>
      <c r="E4165" t="inlineStr">
        <is>
          <t>ÖREBRO</t>
        </is>
      </c>
      <c r="G4165" t="n">
        <v>7.5</v>
      </c>
      <c r="H4165" t="n">
        <v>0</v>
      </c>
      <c r="I4165" t="n">
        <v>0</v>
      </c>
      <c r="J4165" t="n">
        <v>0</v>
      </c>
      <c r="K4165" t="n">
        <v>0</v>
      </c>
      <c r="L4165" t="n">
        <v>0</v>
      </c>
      <c r="M4165" t="n">
        <v>0</v>
      </c>
      <c r="N4165" t="n">
        <v>0</v>
      </c>
      <c r="O4165" t="n">
        <v>0</v>
      </c>
      <c r="P4165" t="n">
        <v>0</v>
      </c>
      <c r="Q4165" t="n">
        <v>0</v>
      </c>
      <c r="R4165" s="2" t="inlineStr"/>
    </row>
    <row r="4166" ht="15" customHeight="1">
      <c r="A4166" t="inlineStr">
        <is>
          <t>A 45424-2025</t>
        </is>
      </c>
      <c r="B4166" s="1" t="n">
        <v>45920</v>
      </c>
      <c r="C4166" s="1" t="n">
        <v>45952</v>
      </c>
      <c r="D4166" t="inlineStr">
        <is>
          <t>ÖREBRO LÄN</t>
        </is>
      </c>
      <c r="E4166" t="inlineStr">
        <is>
          <t>LAXÅ</t>
        </is>
      </c>
      <c r="G4166" t="n">
        <v>1.2</v>
      </c>
      <c r="H4166" t="n">
        <v>0</v>
      </c>
      <c r="I4166" t="n">
        <v>0</v>
      </c>
      <c r="J4166" t="n">
        <v>0</v>
      </c>
      <c r="K4166" t="n">
        <v>0</v>
      </c>
      <c r="L4166" t="n">
        <v>0</v>
      </c>
      <c r="M4166" t="n">
        <v>0</v>
      </c>
      <c r="N4166" t="n">
        <v>0</v>
      </c>
      <c r="O4166" t="n">
        <v>0</v>
      </c>
      <c r="P4166" t="n">
        <v>0</v>
      </c>
      <c r="Q4166" t="n">
        <v>0</v>
      </c>
      <c r="R4166" s="2" t="inlineStr"/>
    </row>
    <row r="4167" ht="15" customHeight="1">
      <c r="A4167" t="inlineStr">
        <is>
          <t>A 37737-2025</t>
        </is>
      </c>
      <c r="B4167" s="1" t="n">
        <v>45880.63737268518</v>
      </c>
      <c r="C4167" s="1" t="n">
        <v>45952</v>
      </c>
      <c r="D4167" t="inlineStr">
        <is>
          <t>ÖREBRO LÄN</t>
        </is>
      </c>
      <c r="E4167" t="inlineStr">
        <is>
          <t>KARLSKOGA</t>
        </is>
      </c>
      <c r="F4167" t="inlineStr">
        <is>
          <t>Kyrkan</t>
        </is>
      </c>
      <c r="G4167" t="n">
        <v>2.7</v>
      </c>
      <c r="H4167" t="n">
        <v>0</v>
      </c>
      <c r="I4167" t="n">
        <v>0</v>
      </c>
      <c r="J4167" t="n">
        <v>0</v>
      </c>
      <c r="K4167" t="n">
        <v>0</v>
      </c>
      <c r="L4167" t="n">
        <v>0</v>
      </c>
      <c r="M4167" t="n">
        <v>0</v>
      </c>
      <c r="N4167" t="n">
        <v>0</v>
      </c>
      <c r="O4167" t="n">
        <v>0</v>
      </c>
      <c r="P4167" t="n">
        <v>0</v>
      </c>
      <c r="Q4167" t="n">
        <v>0</v>
      </c>
      <c r="R4167" s="2" t="inlineStr"/>
    </row>
    <row r="4168" ht="15" customHeight="1">
      <c r="A4168" t="inlineStr">
        <is>
          <t>A 35445-2024</t>
        </is>
      </c>
      <c r="B4168" s="1" t="n">
        <v>45531.43599537037</v>
      </c>
      <c r="C4168" s="1" t="n">
        <v>45952</v>
      </c>
      <c r="D4168" t="inlineStr">
        <is>
          <t>ÖREBRO LÄN</t>
        </is>
      </c>
      <c r="E4168" t="inlineStr">
        <is>
          <t>KARLSKOGA</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28470-2023</t>
        </is>
      </c>
      <c r="B4169" s="1" t="n">
        <v>45103</v>
      </c>
      <c r="C4169" s="1" t="n">
        <v>45952</v>
      </c>
      <c r="D4169" t="inlineStr">
        <is>
          <t>ÖREBRO LÄN</t>
        </is>
      </c>
      <c r="E4169" t="inlineStr">
        <is>
          <t>LINDESBERG</t>
        </is>
      </c>
      <c r="G4169" t="n">
        <v>6.7</v>
      </c>
      <c r="H4169" t="n">
        <v>0</v>
      </c>
      <c r="I4169" t="n">
        <v>0</v>
      </c>
      <c r="J4169" t="n">
        <v>0</v>
      </c>
      <c r="K4169" t="n">
        <v>0</v>
      </c>
      <c r="L4169" t="n">
        <v>0</v>
      </c>
      <c r="M4169" t="n">
        <v>0</v>
      </c>
      <c r="N4169" t="n">
        <v>0</v>
      </c>
      <c r="O4169" t="n">
        <v>0</v>
      </c>
      <c r="P4169" t="n">
        <v>0</v>
      </c>
      <c r="Q4169" t="n">
        <v>0</v>
      </c>
      <c r="R4169" s="2" t="inlineStr"/>
    </row>
    <row r="4170" ht="15" customHeight="1">
      <c r="A4170" t="inlineStr">
        <is>
          <t>A 59158-2022</t>
        </is>
      </c>
      <c r="B4170" s="1" t="n">
        <v>44904</v>
      </c>
      <c r="C4170" s="1" t="n">
        <v>45952</v>
      </c>
      <c r="D4170" t="inlineStr">
        <is>
          <t>ÖREBRO LÄN</t>
        </is>
      </c>
      <c r="E4170" t="inlineStr">
        <is>
          <t>DEGERFORS</t>
        </is>
      </c>
      <c r="F4170" t="inlineStr">
        <is>
          <t>Sveaskog</t>
        </is>
      </c>
      <c r="G4170" t="n">
        <v>3.7</v>
      </c>
      <c r="H4170" t="n">
        <v>0</v>
      </c>
      <c r="I4170" t="n">
        <v>0</v>
      </c>
      <c r="J4170" t="n">
        <v>0</v>
      </c>
      <c r="K4170" t="n">
        <v>0</v>
      </c>
      <c r="L4170" t="n">
        <v>0</v>
      </c>
      <c r="M4170" t="n">
        <v>0</v>
      </c>
      <c r="N4170" t="n">
        <v>0</v>
      </c>
      <c r="O4170" t="n">
        <v>0</v>
      </c>
      <c r="P4170" t="n">
        <v>0</v>
      </c>
      <c r="Q4170" t="n">
        <v>0</v>
      </c>
      <c r="R4170" s="2" t="inlineStr"/>
    </row>
    <row r="4171" ht="15" customHeight="1">
      <c r="A4171" t="inlineStr">
        <is>
          <t>A 23036-2024</t>
        </is>
      </c>
      <c r="B4171" s="1" t="n">
        <v>45450.39145833333</v>
      </c>
      <c r="C4171" s="1" t="n">
        <v>45952</v>
      </c>
      <c r="D4171" t="inlineStr">
        <is>
          <t>ÖREBRO LÄN</t>
        </is>
      </c>
      <c r="E4171" t="inlineStr">
        <is>
          <t>HÄLLEFORS</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37591-2025</t>
        </is>
      </c>
      <c r="B4172" s="1" t="n">
        <v>45880.41182870371</v>
      </c>
      <c r="C4172" s="1" t="n">
        <v>45952</v>
      </c>
      <c r="D4172" t="inlineStr">
        <is>
          <t>ÖREBRO LÄN</t>
        </is>
      </c>
      <c r="E4172" t="inlineStr">
        <is>
          <t>HALLSBERG</t>
        </is>
      </c>
      <c r="G4172" t="n">
        <v>9.9</v>
      </c>
      <c r="H4172" t="n">
        <v>0</v>
      </c>
      <c r="I4172" t="n">
        <v>0</v>
      </c>
      <c r="J4172" t="n">
        <v>0</v>
      </c>
      <c r="K4172" t="n">
        <v>0</v>
      </c>
      <c r="L4172" t="n">
        <v>0</v>
      </c>
      <c r="M4172" t="n">
        <v>0</v>
      </c>
      <c r="N4172" t="n">
        <v>0</v>
      </c>
      <c r="O4172" t="n">
        <v>0</v>
      </c>
      <c r="P4172" t="n">
        <v>0</v>
      </c>
      <c r="Q4172" t="n">
        <v>0</v>
      </c>
      <c r="R4172" s="2" t="inlineStr"/>
    </row>
    <row r="4173" ht="15" customHeight="1">
      <c r="A4173" t="inlineStr">
        <is>
          <t>A 37717-2025</t>
        </is>
      </c>
      <c r="B4173" s="1" t="n">
        <v>45880.61226851852</v>
      </c>
      <c r="C4173" s="1" t="n">
        <v>45952</v>
      </c>
      <c r="D4173" t="inlineStr">
        <is>
          <t>ÖREBRO LÄN</t>
        </is>
      </c>
      <c r="E4173" t="inlineStr">
        <is>
          <t>HALLSBERG</t>
        </is>
      </c>
      <c r="F4173" t="inlineStr">
        <is>
          <t>Sveaskog</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10204-2025</t>
        </is>
      </c>
      <c r="B4174" s="1" t="n">
        <v>45719.76690972222</v>
      </c>
      <c r="C4174" s="1" t="n">
        <v>45952</v>
      </c>
      <c r="D4174" t="inlineStr">
        <is>
          <t>ÖREBRO LÄN</t>
        </is>
      </c>
      <c r="E4174" t="inlineStr">
        <is>
          <t>ASKERSUND</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37718-2025</t>
        </is>
      </c>
      <c r="B4175" s="1" t="n">
        <v>45880.61376157407</v>
      </c>
      <c r="C4175" s="1" t="n">
        <v>45952</v>
      </c>
      <c r="D4175" t="inlineStr">
        <is>
          <t>ÖREBRO LÄN</t>
        </is>
      </c>
      <c r="E4175" t="inlineStr">
        <is>
          <t>HALLSBERG</t>
        </is>
      </c>
      <c r="F4175" t="inlineStr">
        <is>
          <t>Sveaskog</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37837-2025</t>
        </is>
      </c>
      <c r="B4176" s="1" t="n">
        <v>45881.42791666667</v>
      </c>
      <c r="C4176" s="1" t="n">
        <v>45952</v>
      </c>
      <c r="D4176" t="inlineStr">
        <is>
          <t>ÖREBRO LÄN</t>
        </is>
      </c>
      <c r="E4176" t="inlineStr">
        <is>
          <t>LINDESBERG</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37727-2025</t>
        </is>
      </c>
      <c r="B4177" s="1" t="n">
        <v>45880.62028935185</v>
      </c>
      <c r="C4177" s="1" t="n">
        <v>45952</v>
      </c>
      <c r="D4177" t="inlineStr">
        <is>
          <t>ÖREBRO LÄN</t>
        </is>
      </c>
      <c r="E4177" t="inlineStr">
        <is>
          <t>HALLSBERG</t>
        </is>
      </c>
      <c r="F4177" t="inlineStr">
        <is>
          <t>Sveaskog</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60312-2024</t>
        </is>
      </c>
      <c r="B4178" s="1" t="n">
        <v>45643</v>
      </c>
      <c r="C4178" s="1" t="n">
        <v>45952</v>
      </c>
      <c r="D4178" t="inlineStr">
        <is>
          <t>ÖREBRO LÄN</t>
        </is>
      </c>
      <c r="E4178" t="inlineStr">
        <is>
          <t>HÄLLEFORS</t>
        </is>
      </c>
      <c r="F4178" t="inlineStr">
        <is>
          <t>Bergvik skog väst AB</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37602-2025</t>
        </is>
      </c>
      <c r="B4179" s="1" t="n">
        <v>45880</v>
      </c>
      <c r="C4179" s="1" t="n">
        <v>45952</v>
      </c>
      <c r="D4179" t="inlineStr">
        <is>
          <t>ÖREBRO LÄN</t>
        </is>
      </c>
      <c r="E4179" t="inlineStr">
        <is>
          <t>LINDESBERG</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37620-2025</t>
        </is>
      </c>
      <c r="B4180" s="1" t="n">
        <v>45880.44960648148</v>
      </c>
      <c r="C4180" s="1" t="n">
        <v>45952</v>
      </c>
      <c r="D4180" t="inlineStr">
        <is>
          <t>ÖREBRO LÄN</t>
        </is>
      </c>
      <c r="E4180" t="inlineStr">
        <is>
          <t>LAXÅ</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37625-2025</t>
        </is>
      </c>
      <c r="B4181" s="1" t="n">
        <v>45880.46056712963</v>
      </c>
      <c r="C4181" s="1" t="n">
        <v>45952</v>
      </c>
      <c r="D4181" t="inlineStr">
        <is>
          <t>ÖREBRO LÄN</t>
        </is>
      </c>
      <c r="E4181" t="inlineStr">
        <is>
          <t>LINDESBERG</t>
        </is>
      </c>
      <c r="G4181" t="n">
        <v>12.5</v>
      </c>
      <c r="H4181" t="n">
        <v>0</v>
      </c>
      <c r="I4181" t="n">
        <v>0</v>
      </c>
      <c r="J4181" t="n">
        <v>0</v>
      </c>
      <c r="K4181" t="n">
        <v>0</v>
      </c>
      <c r="L4181" t="n">
        <v>0</v>
      </c>
      <c r="M4181" t="n">
        <v>0</v>
      </c>
      <c r="N4181" t="n">
        <v>0</v>
      </c>
      <c r="O4181" t="n">
        <v>0</v>
      </c>
      <c r="P4181" t="n">
        <v>0</v>
      </c>
      <c r="Q4181" t="n">
        <v>0</v>
      </c>
      <c r="R4181" s="2" t="inlineStr"/>
    </row>
    <row r="4182" ht="15" customHeight="1">
      <c r="A4182" t="inlineStr">
        <is>
          <t>A 37898-2025</t>
        </is>
      </c>
      <c r="B4182" s="1" t="n">
        <v>45881.55846064815</v>
      </c>
      <c r="C4182" s="1" t="n">
        <v>45952</v>
      </c>
      <c r="D4182" t="inlineStr">
        <is>
          <t>ÖREBRO LÄN</t>
        </is>
      </c>
      <c r="E4182" t="inlineStr">
        <is>
          <t>LEKEBERG</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47094-2023</t>
        </is>
      </c>
      <c r="B4183" s="1" t="n">
        <v>45196</v>
      </c>
      <c r="C4183" s="1" t="n">
        <v>45952</v>
      </c>
      <c r="D4183" t="inlineStr">
        <is>
          <t>ÖREBRO LÄN</t>
        </is>
      </c>
      <c r="E4183" t="inlineStr">
        <is>
          <t>KARLSKOGA</t>
        </is>
      </c>
      <c r="G4183" t="n">
        <v>1.9</v>
      </c>
      <c r="H4183" t="n">
        <v>0</v>
      </c>
      <c r="I4183" t="n">
        <v>0</v>
      </c>
      <c r="J4183" t="n">
        <v>0</v>
      </c>
      <c r="K4183" t="n">
        <v>0</v>
      </c>
      <c r="L4183" t="n">
        <v>0</v>
      </c>
      <c r="M4183" t="n">
        <v>0</v>
      </c>
      <c r="N4183" t="n">
        <v>0</v>
      </c>
      <c r="O4183" t="n">
        <v>0</v>
      </c>
      <c r="P4183" t="n">
        <v>0</v>
      </c>
      <c r="Q4183" t="n">
        <v>0</v>
      </c>
      <c r="R4183" s="2" t="inlineStr"/>
    </row>
    <row r="4184" ht="15" customHeight="1">
      <c r="A4184" t="inlineStr">
        <is>
          <t>A 37930-2025</t>
        </is>
      </c>
      <c r="B4184" s="1" t="n">
        <v>45881.58667824074</v>
      </c>
      <c r="C4184" s="1" t="n">
        <v>45952</v>
      </c>
      <c r="D4184" t="inlineStr">
        <is>
          <t>ÖREBRO LÄN</t>
        </is>
      </c>
      <c r="E4184" t="inlineStr">
        <is>
          <t>ASKERSUND</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45596-2025</t>
        </is>
      </c>
      <c r="B4185" s="1" t="n">
        <v>45922.68408564815</v>
      </c>
      <c r="C4185" s="1" t="n">
        <v>45952</v>
      </c>
      <c r="D4185" t="inlineStr">
        <is>
          <t>ÖREBRO LÄN</t>
        </is>
      </c>
      <c r="E4185" t="inlineStr">
        <is>
          <t>KARLSKOGA</t>
        </is>
      </c>
      <c r="F4185" t="inlineStr">
        <is>
          <t>Kyrkan</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34139-2022</t>
        </is>
      </c>
      <c r="B4186" s="1" t="n">
        <v>44791</v>
      </c>
      <c r="C4186" s="1" t="n">
        <v>45952</v>
      </c>
      <c r="D4186" t="inlineStr">
        <is>
          <t>ÖREBRO LÄN</t>
        </is>
      </c>
      <c r="E4186" t="inlineStr">
        <is>
          <t>ASKERSUND</t>
        </is>
      </c>
      <c r="G4186" t="n">
        <v>1.5</v>
      </c>
      <c r="H4186" t="n">
        <v>0</v>
      </c>
      <c r="I4186" t="n">
        <v>0</v>
      </c>
      <c r="J4186" t="n">
        <v>0</v>
      </c>
      <c r="K4186" t="n">
        <v>0</v>
      </c>
      <c r="L4186" t="n">
        <v>0</v>
      </c>
      <c r="M4186" t="n">
        <v>0</v>
      </c>
      <c r="N4186" t="n">
        <v>0</v>
      </c>
      <c r="O4186" t="n">
        <v>0</v>
      </c>
      <c r="P4186" t="n">
        <v>0</v>
      </c>
      <c r="Q4186" t="n">
        <v>0</v>
      </c>
      <c r="R4186" s="2" t="inlineStr"/>
    </row>
    <row r="4187" ht="15" customHeight="1">
      <c r="A4187" t="inlineStr">
        <is>
          <t>A 38196-2024</t>
        </is>
      </c>
      <c r="B4187" s="1" t="n">
        <v>45545.49483796296</v>
      </c>
      <c r="C4187" s="1" t="n">
        <v>45952</v>
      </c>
      <c r="D4187" t="inlineStr">
        <is>
          <t>ÖREBRO LÄN</t>
        </is>
      </c>
      <c r="E4187" t="inlineStr">
        <is>
          <t>KARLSKOGA</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45547-2025</t>
        </is>
      </c>
      <c r="B4188" s="1" t="n">
        <v>45922.62559027778</v>
      </c>
      <c r="C4188" s="1" t="n">
        <v>45952</v>
      </c>
      <c r="D4188" t="inlineStr">
        <is>
          <t>ÖREBRO LÄN</t>
        </is>
      </c>
      <c r="E4188" t="inlineStr">
        <is>
          <t>ASKERSUND</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19408-2023</t>
        </is>
      </c>
      <c r="B4189" s="1" t="n">
        <v>45049</v>
      </c>
      <c r="C4189" s="1" t="n">
        <v>45952</v>
      </c>
      <c r="D4189" t="inlineStr">
        <is>
          <t>ÖREBRO LÄN</t>
        </is>
      </c>
      <c r="E4189" t="inlineStr">
        <is>
          <t>HALLSBERG</t>
        </is>
      </c>
      <c r="G4189" t="n">
        <v>5.9</v>
      </c>
      <c r="H4189" t="n">
        <v>0</v>
      </c>
      <c r="I4189" t="n">
        <v>0</v>
      </c>
      <c r="J4189" t="n">
        <v>0</v>
      </c>
      <c r="K4189" t="n">
        <v>0</v>
      </c>
      <c r="L4189" t="n">
        <v>0</v>
      </c>
      <c r="M4189" t="n">
        <v>0</v>
      </c>
      <c r="N4189" t="n">
        <v>0</v>
      </c>
      <c r="O4189" t="n">
        <v>0</v>
      </c>
      <c r="P4189" t="n">
        <v>0</v>
      </c>
      <c r="Q4189" t="n">
        <v>0</v>
      </c>
      <c r="R4189" s="2" t="inlineStr"/>
    </row>
    <row r="4190" ht="15" customHeight="1">
      <c r="A4190" t="inlineStr">
        <is>
          <t>A 37552-2025</t>
        </is>
      </c>
      <c r="B4190" s="1" t="n">
        <v>45880.28673611111</v>
      </c>
      <c r="C4190" s="1" t="n">
        <v>45952</v>
      </c>
      <c r="D4190" t="inlineStr">
        <is>
          <t>ÖREBRO LÄN</t>
        </is>
      </c>
      <c r="E4190" t="inlineStr">
        <is>
          <t>LINDESBERG</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37942-2025</t>
        </is>
      </c>
      <c r="B4191" s="1" t="n">
        <v>45881.6027662037</v>
      </c>
      <c r="C4191" s="1" t="n">
        <v>45952</v>
      </c>
      <c r="D4191" t="inlineStr">
        <is>
          <t>ÖREBRO LÄN</t>
        </is>
      </c>
      <c r="E4191" t="inlineStr">
        <is>
          <t>LAXÅ</t>
        </is>
      </c>
      <c r="F4191" t="inlineStr">
        <is>
          <t>Sveaskog</t>
        </is>
      </c>
      <c r="G4191" t="n">
        <v>1.8</v>
      </c>
      <c r="H4191" t="n">
        <v>0</v>
      </c>
      <c r="I4191" t="n">
        <v>0</v>
      </c>
      <c r="J4191" t="n">
        <v>0</v>
      </c>
      <c r="K4191" t="n">
        <v>0</v>
      </c>
      <c r="L4191" t="n">
        <v>0</v>
      </c>
      <c r="M4191" t="n">
        <v>0</v>
      </c>
      <c r="N4191" t="n">
        <v>0</v>
      </c>
      <c r="O4191" t="n">
        <v>0</v>
      </c>
      <c r="P4191" t="n">
        <v>0</v>
      </c>
      <c r="Q4191" t="n">
        <v>0</v>
      </c>
      <c r="R4191" s="2" t="inlineStr"/>
    </row>
    <row r="4192" ht="15" customHeight="1">
      <c r="A4192" t="inlineStr">
        <is>
          <t>A 32097-2024</t>
        </is>
      </c>
      <c r="B4192" s="1" t="n">
        <v>45511.39445601852</v>
      </c>
      <c r="C4192" s="1" t="n">
        <v>45952</v>
      </c>
      <c r="D4192" t="inlineStr">
        <is>
          <t>ÖREBRO LÄN</t>
        </is>
      </c>
      <c r="E4192" t="inlineStr">
        <is>
          <t>LINDESBERG</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37550-2025</t>
        </is>
      </c>
      <c r="B4193" s="1" t="n">
        <v>45879.91046296297</v>
      </c>
      <c r="C4193" s="1" t="n">
        <v>45952</v>
      </c>
      <c r="D4193" t="inlineStr">
        <is>
          <t>ÖREBRO LÄN</t>
        </is>
      </c>
      <c r="E4193" t="inlineStr">
        <is>
          <t>NORA</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37714-2025</t>
        </is>
      </c>
      <c r="B4194" s="1" t="n">
        <v>45880.60302083333</v>
      </c>
      <c r="C4194" s="1" t="n">
        <v>45952</v>
      </c>
      <c r="D4194" t="inlineStr">
        <is>
          <t>ÖREBRO LÄN</t>
        </is>
      </c>
      <c r="E4194" t="inlineStr">
        <is>
          <t>HALLSBERG</t>
        </is>
      </c>
      <c r="F4194" t="inlineStr">
        <is>
          <t>Sveaskog</t>
        </is>
      </c>
      <c r="G4194" t="n">
        <v>6.5</v>
      </c>
      <c r="H4194" t="n">
        <v>0</v>
      </c>
      <c r="I4194" t="n">
        <v>0</v>
      </c>
      <c r="J4194" t="n">
        <v>0</v>
      </c>
      <c r="K4194" t="n">
        <v>0</v>
      </c>
      <c r="L4194" t="n">
        <v>0</v>
      </c>
      <c r="M4194" t="n">
        <v>0</v>
      </c>
      <c r="N4194" t="n">
        <v>0</v>
      </c>
      <c r="O4194" t="n">
        <v>0</v>
      </c>
      <c r="P4194" t="n">
        <v>0</v>
      </c>
      <c r="Q4194" t="n">
        <v>0</v>
      </c>
      <c r="R4194" s="2" t="inlineStr"/>
    </row>
    <row r="4195" ht="15" customHeight="1">
      <c r="A4195" t="inlineStr">
        <is>
          <t>A 26340-2022</t>
        </is>
      </c>
      <c r="B4195" s="1" t="n">
        <v>44735.62539351852</v>
      </c>
      <c r="C4195" s="1" t="n">
        <v>45952</v>
      </c>
      <c r="D4195" t="inlineStr">
        <is>
          <t>ÖREBRO LÄN</t>
        </is>
      </c>
      <c r="E4195" t="inlineStr">
        <is>
          <t>LINDESBERG</t>
        </is>
      </c>
      <c r="F4195" t="inlineStr">
        <is>
          <t>Sveaskog</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45785-2025</t>
        </is>
      </c>
      <c r="B4196" s="1" t="n">
        <v>45923.55998842593</v>
      </c>
      <c r="C4196" s="1" t="n">
        <v>45952</v>
      </c>
      <c r="D4196" t="inlineStr">
        <is>
          <t>ÖREBRO LÄN</t>
        </is>
      </c>
      <c r="E4196" t="inlineStr">
        <is>
          <t>LJUSNARSBERG</t>
        </is>
      </c>
      <c r="G4196" t="n">
        <v>2.9</v>
      </c>
      <c r="H4196" t="n">
        <v>0</v>
      </c>
      <c r="I4196" t="n">
        <v>0</v>
      </c>
      <c r="J4196" t="n">
        <v>0</v>
      </c>
      <c r="K4196" t="n">
        <v>0</v>
      </c>
      <c r="L4196" t="n">
        <v>0</v>
      </c>
      <c r="M4196" t="n">
        <v>0</v>
      </c>
      <c r="N4196" t="n">
        <v>0</v>
      </c>
      <c r="O4196" t="n">
        <v>0</v>
      </c>
      <c r="P4196" t="n">
        <v>0</v>
      </c>
      <c r="Q4196" t="n">
        <v>0</v>
      </c>
      <c r="R4196" s="2" t="inlineStr"/>
    </row>
    <row r="4197" ht="15" customHeight="1">
      <c r="A4197" t="inlineStr">
        <is>
          <t>A 67027-2021</t>
        </is>
      </c>
      <c r="B4197" s="1" t="n">
        <v>44522.66836805556</v>
      </c>
      <c r="C4197" s="1" t="n">
        <v>45952</v>
      </c>
      <c r="D4197" t="inlineStr">
        <is>
          <t>ÖREBRO LÄN</t>
        </is>
      </c>
      <c r="E4197" t="inlineStr">
        <is>
          <t>HÄLLEFORS</t>
        </is>
      </c>
      <c r="G4197" t="n">
        <v>1.7</v>
      </c>
      <c r="H4197" t="n">
        <v>0</v>
      </c>
      <c r="I4197" t="n">
        <v>0</v>
      </c>
      <c r="J4197" t="n">
        <v>0</v>
      </c>
      <c r="K4197" t="n">
        <v>0</v>
      </c>
      <c r="L4197" t="n">
        <v>0</v>
      </c>
      <c r="M4197" t="n">
        <v>0</v>
      </c>
      <c r="N4197" t="n">
        <v>0</v>
      </c>
      <c r="O4197" t="n">
        <v>0</v>
      </c>
      <c r="P4197" t="n">
        <v>0</v>
      </c>
      <c r="Q4197" t="n">
        <v>0</v>
      </c>
      <c r="R4197" s="2" t="inlineStr"/>
    </row>
    <row r="4198" ht="15" customHeight="1">
      <c r="A4198" t="inlineStr">
        <is>
          <t>A 57869-2024</t>
        </is>
      </c>
      <c r="B4198" s="1" t="n">
        <v>45631.44207175926</v>
      </c>
      <c r="C4198" s="1" t="n">
        <v>45952</v>
      </c>
      <c r="D4198" t="inlineStr">
        <is>
          <t>ÖREBRO LÄN</t>
        </is>
      </c>
      <c r="E4198" t="inlineStr">
        <is>
          <t>ÖREBRO</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18932-2022</t>
        </is>
      </c>
      <c r="B4199" s="1" t="n">
        <v>44690</v>
      </c>
      <c r="C4199" s="1" t="n">
        <v>45952</v>
      </c>
      <c r="D4199" t="inlineStr">
        <is>
          <t>ÖREBRO LÄN</t>
        </is>
      </c>
      <c r="E4199" t="inlineStr">
        <is>
          <t>LJUSNARSBERG</t>
        </is>
      </c>
      <c r="F4199" t="inlineStr">
        <is>
          <t>Bergvik skog väst AB</t>
        </is>
      </c>
      <c r="G4199" t="n">
        <v>4.2</v>
      </c>
      <c r="H4199" t="n">
        <v>0</v>
      </c>
      <c r="I4199" t="n">
        <v>0</v>
      </c>
      <c r="J4199" t="n">
        <v>0</v>
      </c>
      <c r="K4199" t="n">
        <v>0</v>
      </c>
      <c r="L4199" t="n">
        <v>0</v>
      </c>
      <c r="M4199" t="n">
        <v>0</v>
      </c>
      <c r="N4199" t="n">
        <v>0</v>
      </c>
      <c r="O4199" t="n">
        <v>0</v>
      </c>
      <c r="P4199" t="n">
        <v>0</v>
      </c>
      <c r="Q4199" t="n">
        <v>0</v>
      </c>
      <c r="R4199" s="2" t="inlineStr"/>
    </row>
    <row r="4200" ht="15" customHeight="1">
      <c r="A4200" t="inlineStr">
        <is>
          <t>A 37601-2025</t>
        </is>
      </c>
      <c r="B4200" s="1" t="n">
        <v>45880.42255787037</v>
      </c>
      <c r="C4200" s="1" t="n">
        <v>45952</v>
      </c>
      <c r="D4200" t="inlineStr">
        <is>
          <t>ÖREBRO LÄN</t>
        </is>
      </c>
      <c r="E4200" t="inlineStr">
        <is>
          <t>HALLSBERG</t>
        </is>
      </c>
      <c r="G4200" t="n">
        <v>7.8</v>
      </c>
      <c r="H4200" t="n">
        <v>0</v>
      </c>
      <c r="I4200" t="n">
        <v>0</v>
      </c>
      <c r="J4200" t="n">
        <v>0</v>
      </c>
      <c r="K4200" t="n">
        <v>0</v>
      </c>
      <c r="L4200" t="n">
        <v>0</v>
      </c>
      <c r="M4200" t="n">
        <v>0</v>
      </c>
      <c r="N4200" t="n">
        <v>0</v>
      </c>
      <c r="O4200" t="n">
        <v>0</v>
      </c>
      <c r="P4200" t="n">
        <v>0</v>
      </c>
      <c r="Q4200" t="n">
        <v>0</v>
      </c>
      <c r="R4200" s="2" t="inlineStr"/>
    </row>
    <row r="4201" ht="15" customHeight="1">
      <c r="A4201" t="inlineStr">
        <is>
          <t>A 13023-2024</t>
        </is>
      </c>
      <c r="B4201" s="1" t="n">
        <v>45385.58478009259</v>
      </c>
      <c r="C4201" s="1" t="n">
        <v>45952</v>
      </c>
      <c r="D4201" t="inlineStr">
        <is>
          <t>ÖREBRO LÄN</t>
        </is>
      </c>
      <c r="E4201" t="inlineStr">
        <is>
          <t>LAXÅ</t>
        </is>
      </c>
      <c r="F4201" t="inlineStr">
        <is>
          <t>Sveaskog</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11565-2023</t>
        </is>
      </c>
      <c r="B4202" s="1" t="n">
        <v>44994</v>
      </c>
      <c r="C4202" s="1" t="n">
        <v>45952</v>
      </c>
      <c r="D4202" t="inlineStr">
        <is>
          <t>ÖREBRO LÄN</t>
        </is>
      </c>
      <c r="E4202" t="inlineStr">
        <is>
          <t>ÖREBRO</t>
        </is>
      </c>
      <c r="G4202" t="n">
        <v>4.7</v>
      </c>
      <c r="H4202" t="n">
        <v>0</v>
      </c>
      <c r="I4202" t="n">
        <v>0</v>
      </c>
      <c r="J4202" t="n">
        <v>0</v>
      </c>
      <c r="K4202" t="n">
        <v>0</v>
      </c>
      <c r="L4202" t="n">
        <v>0</v>
      </c>
      <c r="M4202" t="n">
        <v>0</v>
      </c>
      <c r="N4202" t="n">
        <v>0</v>
      </c>
      <c r="O4202" t="n">
        <v>0</v>
      </c>
      <c r="P4202" t="n">
        <v>0</v>
      </c>
      <c r="Q4202" t="n">
        <v>0</v>
      </c>
      <c r="R4202" s="2" t="inlineStr"/>
    </row>
    <row r="4203" ht="15" customHeight="1">
      <c r="A4203" t="inlineStr">
        <is>
          <t>A 16267-2023</t>
        </is>
      </c>
      <c r="B4203" s="1" t="n">
        <v>45028.51484953704</v>
      </c>
      <c r="C4203" s="1" t="n">
        <v>45952</v>
      </c>
      <c r="D4203" t="inlineStr">
        <is>
          <t>ÖREBRO LÄN</t>
        </is>
      </c>
      <c r="E4203" t="inlineStr">
        <is>
          <t>ASKERSUND</t>
        </is>
      </c>
      <c r="F4203" t="inlineStr">
        <is>
          <t>Sveaskog</t>
        </is>
      </c>
      <c r="G4203" t="n">
        <v>13.6</v>
      </c>
      <c r="H4203" t="n">
        <v>0</v>
      </c>
      <c r="I4203" t="n">
        <v>0</v>
      </c>
      <c r="J4203" t="n">
        <v>0</v>
      </c>
      <c r="K4203" t="n">
        <v>0</v>
      </c>
      <c r="L4203" t="n">
        <v>0</v>
      </c>
      <c r="M4203" t="n">
        <v>0</v>
      </c>
      <c r="N4203" t="n">
        <v>0</v>
      </c>
      <c r="O4203" t="n">
        <v>0</v>
      </c>
      <c r="P4203" t="n">
        <v>0</v>
      </c>
      <c r="Q4203" t="n">
        <v>0</v>
      </c>
      <c r="R4203" s="2" t="inlineStr"/>
    </row>
    <row r="4204" ht="15" customHeight="1">
      <c r="A4204" t="inlineStr">
        <is>
          <t>A 44788-2021</t>
        </is>
      </c>
      <c r="B4204" s="1" t="n">
        <v>44438.4766087963</v>
      </c>
      <c r="C4204" s="1" t="n">
        <v>45952</v>
      </c>
      <c r="D4204" t="inlineStr">
        <is>
          <t>ÖREBRO LÄN</t>
        </is>
      </c>
      <c r="E4204" t="inlineStr">
        <is>
          <t>LJUSNARSBERG</t>
        </is>
      </c>
      <c r="F4204" t="inlineStr">
        <is>
          <t>Bergvik skog väst AB</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51213-2023</t>
        </is>
      </c>
      <c r="B4205" s="1" t="n">
        <v>45219.44515046296</v>
      </c>
      <c r="C4205" s="1" t="n">
        <v>45952</v>
      </c>
      <c r="D4205" t="inlineStr">
        <is>
          <t>ÖREBRO LÄN</t>
        </is>
      </c>
      <c r="E4205" t="inlineStr">
        <is>
          <t>HÄLLEFORS</t>
        </is>
      </c>
      <c r="F4205" t="inlineStr">
        <is>
          <t>Bergvik skog väst AB</t>
        </is>
      </c>
      <c r="G4205" t="n">
        <v>3.5</v>
      </c>
      <c r="H4205" t="n">
        <v>0</v>
      </c>
      <c r="I4205" t="n">
        <v>0</v>
      </c>
      <c r="J4205" t="n">
        <v>0</v>
      </c>
      <c r="K4205" t="n">
        <v>0</v>
      </c>
      <c r="L4205" t="n">
        <v>0</v>
      </c>
      <c r="M4205" t="n">
        <v>0</v>
      </c>
      <c r="N4205" t="n">
        <v>0</v>
      </c>
      <c r="O4205" t="n">
        <v>0</v>
      </c>
      <c r="P4205" t="n">
        <v>0</v>
      </c>
      <c r="Q4205" t="n">
        <v>0</v>
      </c>
      <c r="R4205" s="2" t="inlineStr"/>
    </row>
    <row r="4206" ht="15" customHeight="1">
      <c r="A4206" t="inlineStr">
        <is>
          <t>A 37935-2025</t>
        </is>
      </c>
      <c r="B4206" s="1" t="n">
        <v>45881.59550925926</v>
      </c>
      <c r="C4206" s="1" t="n">
        <v>45952</v>
      </c>
      <c r="D4206" t="inlineStr">
        <is>
          <t>ÖREBRO LÄN</t>
        </is>
      </c>
      <c r="E4206" t="inlineStr">
        <is>
          <t>LINDESBERG</t>
        </is>
      </c>
      <c r="G4206" t="n">
        <v>5.1</v>
      </c>
      <c r="H4206" t="n">
        <v>0</v>
      </c>
      <c r="I4206" t="n">
        <v>0</v>
      </c>
      <c r="J4206" t="n">
        <v>0</v>
      </c>
      <c r="K4206" t="n">
        <v>0</v>
      </c>
      <c r="L4206" t="n">
        <v>0</v>
      </c>
      <c r="M4206" t="n">
        <v>0</v>
      </c>
      <c r="N4206" t="n">
        <v>0</v>
      </c>
      <c r="O4206" t="n">
        <v>0</v>
      </c>
      <c r="P4206" t="n">
        <v>0</v>
      </c>
      <c r="Q4206" t="n">
        <v>0</v>
      </c>
      <c r="R4206" s="2" t="inlineStr"/>
    </row>
    <row r="4207" ht="15" customHeight="1">
      <c r="A4207" t="inlineStr">
        <is>
          <t>A 18715-2025</t>
        </is>
      </c>
      <c r="B4207" s="1" t="n">
        <v>45763.64383101852</v>
      </c>
      <c r="C4207" s="1" t="n">
        <v>45952</v>
      </c>
      <c r="D4207" t="inlineStr">
        <is>
          <t>ÖREBRO LÄN</t>
        </is>
      </c>
      <c r="E4207" t="inlineStr">
        <is>
          <t>HÄLLEFORS</t>
        </is>
      </c>
      <c r="F4207" t="inlineStr">
        <is>
          <t>Bergvik skog väst AB</t>
        </is>
      </c>
      <c r="G4207" t="n">
        <v>4.1</v>
      </c>
      <c r="H4207" t="n">
        <v>0</v>
      </c>
      <c r="I4207" t="n">
        <v>0</v>
      </c>
      <c r="J4207" t="n">
        <v>0</v>
      </c>
      <c r="K4207" t="n">
        <v>0</v>
      </c>
      <c r="L4207" t="n">
        <v>0</v>
      </c>
      <c r="M4207" t="n">
        <v>0</v>
      </c>
      <c r="N4207" t="n">
        <v>0</v>
      </c>
      <c r="O4207" t="n">
        <v>0</v>
      </c>
      <c r="P4207" t="n">
        <v>0</v>
      </c>
      <c r="Q4207" t="n">
        <v>0</v>
      </c>
      <c r="R4207" s="2" t="inlineStr"/>
    </row>
    <row r="4208" ht="15" customHeight="1">
      <c r="A4208" t="inlineStr">
        <is>
          <t>A 18773-2025</t>
        </is>
      </c>
      <c r="B4208" s="1" t="n">
        <v>45763</v>
      </c>
      <c r="C4208" s="1" t="n">
        <v>45952</v>
      </c>
      <c r="D4208" t="inlineStr">
        <is>
          <t>ÖREBRO LÄN</t>
        </is>
      </c>
      <c r="E4208" t="inlineStr">
        <is>
          <t>DEGERFORS</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30534-2023</t>
        </is>
      </c>
      <c r="B4209" s="1" t="n">
        <v>45111</v>
      </c>
      <c r="C4209" s="1" t="n">
        <v>45952</v>
      </c>
      <c r="D4209" t="inlineStr">
        <is>
          <t>ÖREBRO LÄN</t>
        </is>
      </c>
      <c r="E4209" t="inlineStr">
        <is>
          <t>LINDESBERG</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14676-2024</t>
        </is>
      </c>
      <c r="B4210" s="1" t="n">
        <v>45397</v>
      </c>
      <c r="C4210" s="1" t="n">
        <v>45952</v>
      </c>
      <c r="D4210" t="inlineStr">
        <is>
          <t>ÖREBRO LÄN</t>
        </is>
      </c>
      <c r="E4210" t="inlineStr">
        <is>
          <t>HALLSBERG</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62217-2023</t>
        </is>
      </c>
      <c r="B4211" s="1" t="n">
        <v>45267.51355324074</v>
      </c>
      <c r="C4211" s="1" t="n">
        <v>45952</v>
      </c>
      <c r="D4211" t="inlineStr">
        <is>
          <t>ÖREBRO LÄN</t>
        </is>
      </c>
      <c r="E4211" t="inlineStr">
        <is>
          <t>NORA</t>
        </is>
      </c>
      <c r="G4211" t="n">
        <v>1.1</v>
      </c>
      <c r="H4211" t="n">
        <v>0</v>
      </c>
      <c r="I4211" t="n">
        <v>0</v>
      </c>
      <c r="J4211" t="n">
        <v>0</v>
      </c>
      <c r="K4211" t="n">
        <v>0</v>
      </c>
      <c r="L4211" t="n">
        <v>0</v>
      </c>
      <c r="M4211" t="n">
        <v>0</v>
      </c>
      <c r="N4211" t="n">
        <v>0</v>
      </c>
      <c r="O4211" t="n">
        <v>0</v>
      </c>
      <c r="P4211" t="n">
        <v>0</v>
      </c>
      <c r="Q4211" t="n">
        <v>0</v>
      </c>
      <c r="R4211" s="2" t="inlineStr"/>
    </row>
    <row r="4212" ht="15" customHeight="1">
      <c r="A4212" t="inlineStr">
        <is>
          <t>A 7132-2024</t>
        </is>
      </c>
      <c r="B4212" s="1" t="n">
        <v>45344.3665625</v>
      </c>
      <c r="C4212" s="1" t="n">
        <v>45952</v>
      </c>
      <c r="D4212" t="inlineStr">
        <is>
          <t>ÖREBRO LÄN</t>
        </is>
      </c>
      <c r="E4212" t="inlineStr">
        <is>
          <t>LAXÅ</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37553-2025</t>
        </is>
      </c>
      <c r="B4213" s="1" t="n">
        <v>45880.3172337963</v>
      </c>
      <c r="C4213" s="1" t="n">
        <v>45952</v>
      </c>
      <c r="D4213" t="inlineStr">
        <is>
          <t>ÖREBRO LÄN</t>
        </is>
      </c>
      <c r="E4213" t="inlineStr">
        <is>
          <t>LINDESBERG</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45501-2025</t>
        </is>
      </c>
      <c r="B4214" s="1" t="n">
        <v>45922.57255787037</v>
      </c>
      <c r="C4214" s="1" t="n">
        <v>45952</v>
      </c>
      <c r="D4214" t="inlineStr">
        <is>
          <t>ÖREBRO LÄN</t>
        </is>
      </c>
      <c r="E4214" t="inlineStr">
        <is>
          <t>ASKERSUND</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45664-2025</t>
        </is>
      </c>
      <c r="B4215" s="1" t="n">
        <v>45923.34690972222</v>
      </c>
      <c r="C4215" s="1" t="n">
        <v>45952</v>
      </c>
      <c r="D4215" t="inlineStr">
        <is>
          <t>ÖREBRO LÄN</t>
        </is>
      </c>
      <c r="E4215" t="inlineStr">
        <is>
          <t>KARLSKOGA</t>
        </is>
      </c>
      <c r="F4215" t="inlineStr">
        <is>
          <t>Sveaskog</t>
        </is>
      </c>
      <c r="G4215" t="n">
        <v>9</v>
      </c>
      <c r="H4215" t="n">
        <v>0</v>
      </c>
      <c r="I4215" t="n">
        <v>0</v>
      </c>
      <c r="J4215" t="n">
        <v>0</v>
      </c>
      <c r="K4215" t="n">
        <v>0</v>
      </c>
      <c r="L4215" t="n">
        <v>0</v>
      </c>
      <c r="M4215" t="n">
        <v>0</v>
      </c>
      <c r="N4215" t="n">
        <v>0</v>
      </c>
      <c r="O4215" t="n">
        <v>0</v>
      </c>
      <c r="P4215" t="n">
        <v>0</v>
      </c>
      <c r="Q4215" t="n">
        <v>0</v>
      </c>
      <c r="R4215" s="2" t="inlineStr"/>
    </row>
    <row r="4216" ht="15" customHeight="1">
      <c r="A4216" t="inlineStr">
        <is>
          <t>A 45551-2025</t>
        </is>
      </c>
      <c r="B4216" s="1" t="n">
        <v>45922.63743055556</v>
      </c>
      <c r="C4216" s="1" t="n">
        <v>45952</v>
      </c>
      <c r="D4216" t="inlineStr">
        <is>
          <t>ÖREBRO LÄN</t>
        </is>
      </c>
      <c r="E4216" t="inlineStr">
        <is>
          <t>ASKERSUND</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53538-2023</t>
        </is>
      </c>
      <c r="B4217" s="1" t="n">
        <v>45230.45271990741</v>
      </c>
      <c r="C4217" s="1" t="n">
        <v>45952</v>
      </c>
      <c r="D4217" t="inlineStr">
        <is>
          <t>ÖREBRO LÄN</t>
        </is>
      </c>
      <c r="E4217" t="inlineStr">
        <is>
          <t>LAXÅ</t>
        </is>
      </c>
      <c r="G4217" t="n">
        <v>3</v>
      </c>
      <c r="H4217" t="n">
        <v>0</v>
      </c>
      <c r="I4217" t="n">
        <v>0</v>
      </c>
      <c r="J4217" t="n">
        <v>0</v>
      </c>
      <c r="K4217" t="n">
        <v>0</v>
      </c>
      <c r="L4217" t="n">
        <v>0</v>
      </c>
      <c r="M4217" t="n">
        <v>0</v>
      </c>
      <c r="N4217" t="n">
        <v>0</v>
      </c>
      <c r="O4217" t="n">
        <v>0</v>
      </c>
      <c r="P4217" t="n">
        <v>0</v>
      </c>
      <c r="Q4217" t="n">
        <v>0</v>
      </c>
      <c r="R4217" s="2" t="inlineStr"/>
    </row>
    <row r="4218" ht="15" customHeight="1">
      <c r="A4218" t="inlineStr">
        <is>
          <t>A 22198-2023</t>
        </is>
      </c>
      <c r="B4218" s="1" t="n">
        <v>45069.78799768518</v>
      </c>
      <c r="C4218" s="1" t="n">
        <v>45952</v>
      </c>
      <c r="D4218" t="inlineStr">
        <is>
          <t>ÖREBRO LÄN</t>
        </is>
      </c>
      <c r="E4218" t="inlineStr">
        <is>
          <t>LEKEBERG</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3994-2023</t>
        </is>
      </c>
      <c r="B4219" s="1" t="n">
        <v>44950</v>
      </c>
      <c r="C4219" s="1" t="n">
        <v>45952</v>
      </c>
      <c r="D4219" t="inlineStr">
        <is>
          <t>ÖREBRO LÄN</t>
        </is>
      </c>
      <c r="E4219" t="inlineStr">
        <is>
          <t>LINDESBERG</t>
        </is>
      </c>
      <c r="G4219" t="n">
        <v>4.8</v>
      </c>
      <c r="H4219" t="n">
        <v>0</v>
      </c>
      <c r="I4219" t="n">
        <v>0</v>
      </c>
      <c r="J4219" t="n">
        <v>0</v>
      </c>
      <c r="K4219" t="n">
        <v>0</v>
      </c>
      <c r="L4219" t="n">
        <v>0</v>
      </c>
      <c r="M4219" t="n">
        <v>0</v>
      </c>
      <c r="N4219" t="n">
        <v>0</v>
      </c>
      <c r="O4219" t="n">
        <v>0</v>
      </c>
      <c r="P4219" t="n">
        <v>0</v>
      </c>
      <c r="Q4219" t="n">
        <v>0</v>
      </c>
      <c r="R4219" s="2" t="inlineStr"/>
    </row>
    <row r="4220" ht="15" customHeight="1">
      <c r="A4220" t="inlineStr">
        <is>
          <t>A 1647-2024</t>
        </is>
      </c>
      <c r="B4220" s="1" t="n">
        <v>45306</v>
      </c>
      <c r="C4220" s="1" t="n">
        <v>45952</v>
      </c>
      <c r="D4220" t="inlineStr">
        <is>
          <t>ÖREBRO LÄN</t>
        </is>
      </c>
      <c r="E4220" t="inlineStr">
        <is>
          <t>ÖREBRO</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45916-2025</t>
        </is>
      </c>
      <c r="B4221" s="1" t="n">
        <v>45923.83761574074</v>
      </c>
      <c r="C4221" s="1" t="n">
        <v>45952</v>
      </c>
      <c r="D4221" t="inlineStr">
        <is>
          <t>ÖREBRO LÄN</t>
        </is>
      </c>
      <c r="E4221" t="inlineStr">
        <is>
          <t>HÄLLEFORS</t>
        </is>
      </c>
      <c r="F4221" t="inlineStr">
        <is>
          <t>Bergvik skog väst AB</t>
        </is>
      </c>
      <c r="G4221" t="n">
        <v>2.6</v>
      </c>
      <c r="H4221" t="n">
        <v>0</v>
      </c>
      <c r="I4221" t="n">
        <v>0</v>
      </c>
      <c r="J4221" t="n">
        <v>0</v>
      </c>
      <c r="K4221" t="n">
        <v>0</v>
      </c>
      <c r="L4221" t="n">
        <v>0</v>
      </c>
      <c r="M4221" t="n">
        <v>0</v>
      </c>
      <c r="N4221" t="n">
        <v>0</v>
      </c>
      <c r="O4221" t="n">
        <v>0</v>
      </c>
      <c r="P4221" t="n">
        <v>0</v>
      </c>
      <c r="Q4221" t="n">
        <v>0</v>
      </c>
      <c r="R4221" s="2" t="inlineStr"/>
    </row>
    <row r="4222" ht="15" customHeight="1">
      <c r="A4222" t="inlineStr">
        <is>
          <t>A 45543-2025</t>
        </is>
      </c>
      <c r="B4222" s="1" t="n">
        <v>45922.62282407407</v>
      </c>
      <c r="C4222" s="1" t="n">
        <v>45952</v>
      </c>
      <c r="D4222" t="inlineStr">
        <is>
          <t>ÖREBRO LÄN</t>
        </is>
      </c>
      <c r="E4222" t="inlineStr">
        <is>
          <t>ASKERSUND</t>
        </is>
      </c>
      <c r="G4222" t="n">
        <v>3.2</v>
      </c>
      <c r="H4222" t="n">
        <v>0</v>
      </c>
      <c r="I4222" t="n">
        <v>0</v>
      </c>
      <c r="J4222" t="n">
        <v>0</v>
      </c>
      <c r="K4222" t="n">
        <v>0</v>
      </c>
      <c r="L4222" t="n">
        <v>0</v>
      </c>
      <c r="M4222" t="n">
        <v>0</v>
      </c>
      <c r="N4222" t="n">
        <v>0</v>
      </c>
      <c r="O4222" t="n">
        <v>0</v>
      </c>
      <c r="P4222" t="n">
        <v>0</v>
      </c>
      <c r="Q4222" t="n">
        <v>0</v>
      </c>
      <c r="R4222" s="2" t="inlineStr"/>
    </row>
    <row r="4223" ht="15" customHeight="1">
      <c r="A4223" t="inlineStr">
        <is>
          <t>A 31906-2023</t>
        </is>
      </c>
      <c r="B4223" s="1" t="n">
        <v>45118.8353125</v>
      </c>
      <c r="C4223" s="1" t="n">
        <v>45952</v>
      </c>
      <c r="D4223" t="inlineStr">
        <is>
          <t>ÖREBRO LÄN</t>
        </is>
      </c>
      <c r="E4223" t="inlineStr">
        <is>
          <t>ÖREBRO</t>
        </is>
      </c>
      <c r="G4223" t="n">
        <v>9</v>
      </c>
      <c r="H4223" t="n">
        <v>0</v>
      </c>
      <c r="I4223" t="n">
        <v>0</v>
      </c>
      <c r="J4223" t="n">
        <v>0</v>
      </c>
      <c r="K4223" t="n">
        <v>0</v>
      </c>
      <c r="L4223" t="n">
        <v>0</v>
      </c>
      <c r="M4223" t="n">
        <v>0</v>
      </c>
      <c r="N4223" t="n">
        <v>0</v>
      </c>
      <c r="O4223" t="n">
        <v>0</v>
      </c>
      <c r="P4223" t="n">
        <v>0</v>
      </c>
      <c r="Q4223" t="n">
        <v>0</v>
      </c>
      <c r="R4223" s="2" t="inlineStr"/>
    </row>
    <row r="4224" ht="15" customHeight="1">
      <c r="A4224" t="inlineStr">
        <is>
          <t>A 54705-2022</t>
        </is>
      </c>
      <c r="B4224" s="1" t="n">
        <v>44883</v>
      </c>
      <c r="C4224" s="1" t="n">
        <v>45952</v>
      </c>
      <c r="D4224" t="inlineStr">
        <is>
          <t>ÖREBRO LÄN</t>
        </is>
      </c>
      <c r="E4224" t="inlineStr">
        <is>
          <t>LINDESBERG</t>
        </is>
      </c>
      <c r="G4224" t="n">
        <v>8.800000000000001</v>
      </c>
      <c r="H4224" t="n">
        <v>0</v>
      </c>
      <c r="I4224" t="n">
        <v>0</v>
      </c>
      <c r="J4224" t="n">
        <v>0</v>
      </c>
      <c r="K4224" t="n">
        <v>0</v>
      </c>
      <c r="L4224" t="n">
        <v>0</v>
      </c>
      <c r="M4224" t="n">
        <v>0</v>
      </c>
      <c r="N4224" t="n">
        <v>0</v>
      </c>
      <c r="O4224" t="n">
        <v>0</v>
      </c>
      <c r="P4224" t="n">
        <v>0</v>
      </c>
      <c r="Q4224" t="n">
        <v>0</v>
      </c>
      <c r="R4224" s="2" t="inlineStr"/>
    </row>
    <row r="4225" ht="15" customHeight="1">
      <c r="A4225" t="inlineStr">
        <is>
          <t>A 10320-2023</t>
        </is>
      </c>
      <c r="B4225" s="1" t="n">
        <v>44986</v>
      </c>
      <c r="C4225" s="1" t="n">
        <v>45952</v>
      </c>
      <c r="D4225" t="inlineStr">
        <is>
          <t>ÖREBRO LÄN</t>
        </is>
      </c>
      <c r="E4225" t="inlineStr">
        <is>
          <t>DEGERFORS</t>
        </is>
      </c>
      <c r="G4225" t="n">
        <v>2.6</v>
      </c>
      <c r="H4225" t="n">
        <v>0</v>
      </c>
      <c r="I4225" t="n">
        <v>0</v>
      </c>
      <c r="J4225" t="n">
        <v>0</v>
      </c>
      <c r="K4225" t="n">
        <v>0</v>
      </c>
      <c r="L4225" t="n">
        <v>0</v>
      </c>
      <c r="M4225" t="n">
        <v>0</v>
      </c>
      <c r="N4225" t="n">
        <v>0</v>
      </c>
      <c r="O4225" t="n">
        <v>0</v>
      </c>
      <c r="P4225" t="n">
        <v>0</v>
      </c>
      <c r="Q4225" t="n">
        <v>0</v>
      </c>
      <c r="R4225" s="2" t="inlineStr"/>
    </row>
    <row r="4226" ht="15" customHeight="1">
      <c r="A4226" t="inlineStr">
        <is>
          <t>A 41193-2023</t>
        </is>
      </c>
      <c r="B4226" s="1" t="n">
        <v>45174</v>
      </c>
      <c r="C4226" s="1" t="n">
        <v>45952</v>
      </c>
      <c r="D4226" t="inlineStr">
        <is>
          <t>ÖREBRO LÄN</t>
        </is>
      </c>
      <c r="E4226" t="inlineStr">
        <is>
          <t>HÄLLEFORS</t>
        </is>
      </c>
      <c r="F4226" t="inlineStr">
        <is>
          <t>Bergvik skog väst AB</t>
        </is>
      </c>
      <c r="G4226" t="n">
        <v>10.9</v>
      </c>
      <c r="H4226" t="n">
        <v>0</v>
      </c>
      <c r="I4226" t="n">
        <v>0</v>
      </c>
      <c r="J4226" t="n">
        <v>0</v>
      </c>
      <c r="K4226" t="n">
        <v>0</v>
      </c>
      <c r="L4226" t="n">
        <v>0</v>
      </c>
      <c r="M4226" t="n">
        <v>0</v>
      </c>
      <c r="N4226" t="n">
        <v>0</v>
      </c>
      <c r="O4226" t="n">
        <v>0</v>
      </c>
      <c r="P4226" t="n">
        <v>0</v>
      </c>
      <c r="Q4226" t="n">
        <v>0</v>
      </c>
      <c r="R4226" s="2" t="inlineStr"/>
    </row>
    <row r="4227" ht="15" customHeight="1">
      <c r="A4227" t="inlineStr">
        <is>
          <t>A 46404-2025</t>
        </is>
      </c>
      <c r="B4227" s="1" t="n">
        <v>45925.56173611111</v>
      </c>
      <c r="C4227" s="1" t="n">
        <v>45952</v>
      </c>
      <c r="D4227" t="inlineStr">
        <is>
          <t>ÖREBRO LÄN</t>
        </is>
      </c>
      <c r="E4227" t="inlineStr">
        <is>
          <t>LINDESBERG</t>
        </is>
      </c>
      <c r="F4227" t="inlineStr">
        <is>
          <t>Sveaskog</t>
        </is>
      </c>
      <c r="G4227" t="n">
        <v>2.2</v>
      </c>
      <c r="H4227" t="n">
        <v>0</v>
      </c>
      <c r="I4227" t="n">
        <v>0</v>
      </c>
      <c r="J4227" t="n">
        <v>0</v>
      </c>
      <c r="K4227" t="n">
        <v>0</v>
      </c>
      <c r="L4227" t="n">
        <v>0</v>
      </c>
      <c r="M4227" t="n">
        <v>0</v>
      </c>
      <c r="N4227" t="n">
        <v>0</v>
      </c>
      <c r="O4227" t="n">
        <v>0</v>
      </c>
      <c r="P4227" t="n">
        <v>0</v>
      </c>
      <c r="Q4227" t="n">
        <v>0</v>
      </c>
      <c r="R4227" s="2" t="inlineStr"/>
    </row>
    <row r="4228" ht="15" customHeight="1">
      <c r="A4228" t="inlineStr">
        <is>
          <t>A 41810-2023</t>
        </is>
      </c>
      <c r="B4228" s="1" t="n">
        <v>45176</v>
      </c>
      <c r="C4228" s="1" t="n">
        <v>45952</v>
      </c>
      <c r="D4228" t="inlineStr">
        <is>
          <t>ÖREBRO LÄN</t>
        </is>
      </c>
      <c r="E4228" t="inlineStr">
        <is>
          <t>HÄLLEFORS</t>
        </is>
      </c>
      <c r="F4228" t="inlineStr">
        <is>
          <t>Bergvik skog väst AB</t>
        </is>
      </c>
      <c r="G4228" t="n">
        <v>8.199999999999999</v>
      </c>
      <c r="H4228" t="n">
        <v>0</v>
      </c>
      <c r="I4228" t="n">
        <v>0</v>
      </c>
      <c r="J4228" t="n">
        <v>0</v>
      </c>
      <c r="K4228" t="n">
        <v>0</v>
      </c>
      <c r="L4228" t="n">
        <v>0</v>
      </c>
      <c r="M4228" t="n">
        <v>0</v>
      </c>
      <c r="N4228" t="n">
        <v>0</v>
      </c>
      <c r="O4228" t="n">
        <v>0</v>
      </c>
      <c r="P4228" t="n">
        <v>0</v>
      </c>
      <c r="Q4228" t="n">
        <v>0</v>
      </c>
      <c r="R4228" s="2" t="inlineStr"/>
    </row>
    <row r="4229" ht="15" customHeight="1">
      <c r="A4229" t="inlineStr">
        <is>
          <t>A 6905-2025</t>
        </is>
      </c>
      <c r="B4229" s="1" t="n">
        <v>45701</v>
      </c>
      <c r="C4229" s="1" t="n">
        <v>45952</v>
      </c>
      <c r="D4229" t="inlineStr">
        <is>
          <t>ÖREBRO LÄN</t>
        </is>
      </c>
      <c r="E4229" t="inlineStr">
        <is>
          <t>LAXÅ</t>
        </is>
      </c>
      <c r="F4229" t="inlineStr">
        <is>
          <t>Sveaskog</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11008-2024</t>
        </is>
      </c>
      <c r="B4230" s="1" t="n">
        <v>45370.59278935185</v>
      </c>
      <c r="C4230" s="1" t="n">
        <v>45952</v>
      </c>
      <c r="D4230" t="inlineStr">
        <is>
          <t>ÖREBRO LÄN</t>
        </is>
      </c>
      <c r="E4230" t="inlineStr">
        <is>
          <t>ASKERSUND</t>
        </is>
      </c>
      <c r="G4230" t="n">
        <v>6</v>
      </c>
      <c r="H4230" t="n">
        <v>0</v>
      </c>
      <c r="I4230" t="n">
        <v>0</v>
      </c>
      <c r="J4230" t="n">
        <v>0</v>
      </c>
      <c r="K4230" t="n">
        <v>0</v>
      </c>
      <c r="L4230" t="n">
        <v>0</v>
      </c>
      <c r="M4230" t="n">
        <v>0</v>
      </c>
      <c r="N4230" t="n">
        <v>0</v>
      </c>
      <c r="O4230" t="n">
        <v>0</v>
      </c>
      <c r="P4230" t="n">
        <v>0</v>
      </c>
      <c r="Q4230" t="n">
        <v>0</v>
      </c>
      <c r="R4230" s="2" t="inlineStr"/>
    </row>
    <row r="4231" ht="15" customHeight="1">
      <c r="A4231" t="inlineStr">
        <is>
          <t>A 38297-2025</t>
        </is>
      </c>
      <c r="B4231" s="1" t="n">
        <v>45883.45506944445</v>
      </c>
      <c r="C4231" s="1" t="n">
        <v>45952</v>
      </c>
      <c r="D4231" t="inlineStr">
        <is>
          <t>ÖREBRO LÄN</t>
        </is>
      </c>
      <c r="E4231" t="inlineStr">
        <is>
          <t>LEKEBERG</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31326-2024</t>
        </is>
      </c>
      <c r="B4232" s="1" t="n">
        <v>45504.5934375</v>
      </c>
      <c r="C4232" s="1" t="n">
        <v>45952</v>
      </c>
      <c r="D4232" t="inlineStr">
        <is>
          <t>ÖREBRO LÄN</t>
        </is>
      </c>
      <c r="E4232" t="inlineStr">
        <is>
          <t>ÖREBRO</t>
        </is>
      </c>
      <c r="G4232" t="n">
        <v>6.4</v>
      </c>
      <c r="H4232" t="n">
        <v>0</v>
      </c>
      <c r="I4232" t="n">
        <v>0</v>
      </c>
      <c r="J4232" t="n">
        <v>0</v>
      </c>
      <c r="K4232" t="n">
        <v>0</v>
      </c>
      <c r="L4232" t="n">
        <v>0</v>
      </c>
      <c r="M4232" t="n">
        <v>0</v>
      </c>
      <c r="N4232" t="n">
        <v>0</v>
      </c>
      <c r="O4232" t="n">
        <v>0</v>
      </c>
      <c r="P4232" t="n">
        <v>0</v>
      </c>
      <c r="Q4232" t="n">
        <v>0</v>
      </c>
      <c r="R4232" s="2" t="inlineStr"/>
    </row>
    <row r="4233" ht="15" customHeight="1">
      <c r="A4233" t="inlineStr">
        <is>
          <t>A 59631-2023</t>
        </is>
      </c>
      <c r="B4233" s="1" t="n">
        <v>45254.68105324074</v>
      </c>
      <c r="C4233" s="1" t="n">
        <v>45952</v>
      </c>
      <c r="D4233" t="inlineStr">
        <is>
          <t>ÖREBRO LÄN</t>
        </is>
      </c>
      <c r="E4233" t="inlineStr">
        <is>
          <t>LINDESBERG</t>
        </is>
      </c>
      <c r="F4233" t="inlineStr">
        <is>
          <t>Sveaskog</t>
        </is>
      </c>
      <c r="G4233" t="n">
        <v>2.2</v>
      </c>
      <c r="H4233" t="n">
        <v>0</v>
      </c>
      <c r="I4233" t="n">
        <v>0</v>
      </c>
      <c r="J4233" t="n">
        <v>0</v>
      </c>
      <c r="K4233" t="n">
        <v>0</v>
      </c>
      <c r="L4233" t="n">
        <v>0</v>
      </c>
      <c r="M4233" t="n">
        <v>0</v>
      </c>
      <c r="N4233" t="n">
        <v>0</v>
      </c>
      <c r="O4233" t="n">
        <v>0</v>
      </c>
      <c r="P4233" t="n">
        <v>0</v>
      </c>
      <c r="Q4233" t="n">
        <v>0</v>
      </c>
      <c r="R4233" s="2" t="inlineStr"/>
    </row>
    <row r="4234" ht="15" customHeight="1">
      <c r="A4234" t="inlineStr">
        <is>
          <t>A 38010-2025</t>
        </is>
      </c>
      <c r="B4234" s="1" t="n">
        <v>45882.3046412037</v>
      </c>
      <c r="C4234" s="1" t="n">
        <v>45952</v>
      </c>
      <c r="D4234" t="inlineStr">
        <is>
          <t>ÖREBRO LÄN</t>
        </is>
      </c>
      <c r="E4234" t="inlineStr">
        <is>
          <t>HALLSBERG</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46160-2025</t>
        </is>
      </c>
      <c r="B4235" s="1" t="n">
        <v>45924.63674768519</v>
      </c>
      <c r="C4235" s="1" t="n">
        <v>45952</v>
      </c>
      <c r="D4235" t="inlineStr">
        <is>
          <t>ÖREBRO LÄN</t>
        </is>
      </c>
      <c r="E4235" t="inlineStr">
        <is>
          <t>HALLSBERG</t>
        </is>
      </c>
      <c r="F4235" t="inlineStr">
        <is>
          <t>Sveaskog</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38915-2023</t>
        </is>
      </c>
      <c r="B4236" s="1" t="n">
        <v>45163</v>
      </c>
      <c r="C4236" s="1" t="n">
        <v>45952</v>
      </c>
      <c r="D4236" t="inlineStr">
        <is>
          <t>ÖREBRO LÄN</t>
        </is>
      </c>
      <c r="E4236" t="inlineStr">
        <is>
          <t>DEGERFORS</t>
        </is>
      </c>
      <c r="F4236" t="inlineStr">
        <is>
          <t>Sveaskog</t>
        </is>
      </c>
      <c r="G4236" t="n">
        <v>4.5</v>
      </c>
      <c r="H4236" t="n">
        <v>0</v>
      </c>
      <c r="I4236" t="n">
        <v>0</v>
      </c>
      <c r="J4236" t="n">
        <v>0</v>
      </c>
      <c r="K4236" t="n">
        <v>0</v>
      </c>
      <c r="L4236" t="n">
        <v>0</v>
      </c>
      <c r="M4236" t="n">
        <v>0</v>
      </c>
      <c r="N4236" t="n">
        <v>0</v>
      </c>
      <c r="O4236" t="n">
        <v>0</v>
      </c>
      <c r="P4236" t="n">
        <v>0</v>
      </c>
      <c r="Q4236" t="n">
        <v>0</v>
      </c>
      <c r="R4236" s="2" t="inlineStr"/>
    </row>
    <row r="4237" ht="15" customHeight="1">
      <c r="A4237" t="inlineStr">
        <is>
          <t>A 38179-2025</t>
        </is>
      </c>
      <c r="B4237" s="1" t="n">
        <v>45882.64409722222</v>
      </c>
      <c r="C4237" s="1" t="n">
        <v>45952</v>
      </c>
      <c r="D4237" t="inlineStr">
        <is>
          <t>ÖREBRO LÄN</t>
        </is>
      </c>
      <c r="E4237" t="inlineStr">
        <is>
          <t>HALLSBERG</t>
        </is>
      </c>
      <c r="G4237" t="n">
        <v>8.4</v>
      </c>
      <c r="H4237" t="n">
        <v>0</v>
      </c>
      <c r="I4237" t="n">
        <v>0</v>
      </c>
      <c r="J4237" t="n">
        <v>0</v>
      </c>
      <c r="K4237" t="n">
        <v>0</v>
      </c>
      <c r="L4237" t="n">
        <v>0</v>
      </c>
      <c r="M4237" t="n">
        <v>0</v>
      </c>
      <c r="N4237" t="n">
        <v>0</v>
      </c>
      <c r="O4237" t="n">
        <v>0</v>
      </c>
      <c r="P4237" t="n">
        <v>0</v>
      </c>
      <c r="Q4237" t="n">
        <v>0</v>
      </c>
      <c r="R4237" s="2" t="inlineStr"/>
    </row>
    <row r="4238" ht="15" customHeight="1">
      <c r="A4238" t="inlineStr">
        <is>
          <t>A 13104-2025</t>
        </is>
      </c>
      <c r="B4238" s="1" t="n">
        <v>45734</v>
      </c>
      <c r="C4238" s="1" t="n">
        <v>45952</v>
      </c>
      <c r="D4238" t="inlineStr">
        <is>
          <t>ÖREBRO LÄN</t>
        </is>
      </c>
      <c r="E4238" t="inlineStr">
        <is>
          <t>LAXÅ</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20470-2025</t>
        </is>
      </c>
      <c r="B4239" s="1" t="n">
        <v>45775.54530092593</v>
      </c>
      <c r="C4239" s="1" t="n">
        <v>45952</v>
      </c>
      <c r="D4239" t="inlineStr">
        <is>
          <t>ÖREBRO LÄN</t>
        </is>
      </c>
      <c r="E4239" t="inlineStr">
        <is>
          <t>KARLSKOGA</t>
        </is>
      </c>
      <c r="F4239" t="inlineStr">
        <is>
          <t>Sveaskog</t>
        </is>
      </c>
      <c r="G4239" t="n">
        <v>2.1</v>
      </c>
      <c r="H4239" t="n">
        <v>0</v>
      </c>
      <c r="I4239" t="n">
        <v>0</v>
      </c>
      <c r="J4239" t="n">
        <v>0</v>
      </c>
      <c r="K4239" t="n">
        <v>0</v>
      </c>
      <c r="L4239" t="n">
        <v>0</v>
      </c>
      <c r="M4239" t="n">
        <v>0</v>
      </c>
      <c r="N4239" t="n">
        <v>0</v>
      </c>
      <c r="O4239" t="n">
        <v>0</v>
      </c>
      <c r="P4239" t="n">
        <v>0</v>
      </c>
      <c r="Q4239" t="n">
        <v>0</v>
      </c>
      <c r="R4239" s="2" t="inlineStr"/>
    </row>
    <row r="4240" ht="15" customHeight="1">
      <c r="A4240" t="inlineStr">
        <is>
          <t>A 73321-2021</t>
        </is>
      </c>
      <c r="B4240" s="1" t="n">
        <v>44550</v>
      </c>
      <c r="C4240" s="1" t="n">
        <v>45952</v>
      </c>
      <c r="D4240" t="inlineStr">
        <is>
          <t>ÖREBRO LÄN</t>
        </is>
      </c>
      <c r="E4240" t="inlineStr">
        <is>
          <t>DEGERFORS</t>
        </is>
      </c>
      <c r="G4240" t="n">
        <v>17</v>
      </c>
      <c r="H4240" t="n">
        <v>0</v>
      </c>
      <c r="I4240" t="n">
        <v>0</v>
      </c>
      <c r="J4240" t="n">
        <v>0</v>
      </c>
      <c r="K4240" t="n">
        <v>0</v>
      </c>
      <c r="L4240" t="n">
        <v>0</v>
      </c>
      <c r="M4240" t="n">
        <v>0</v>
      </c>
      <c r="N4240" t="n">
        <v>0</v>
      </c>
      <c r="O4240" t="n">
        <v>0</v>
      </c>
      <c r="P4240" t="n">
        <v>0</v>
      </c>
      <c r="Q4240" t="n">
        <v>0</v>
      </c>
      <c r="R4240" s="2" t="inlineStr"/>
    </row>
    <row r="4241" ht="15" customHeight="1">
      <c r="A4241" t="inlineStr">
        <is>
          <t>A 3443-2023</t>
        </is>
      </c>
      <c r="B4241" s="1" t="n">
        <v>44949.6052199074</v>
      </c>
      <c r="C4241" s="1" t="n">
        <v>45952</v>
      </c>
      <c r="D4241" t="inlineStr">
        <is>
          <t>ÖREBRO LÄN</t>
        </is>
      </c>
      <c r="E4241" t="inlineStr">
        <is>
          <t>LAXÅ</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70719-2021</t>
        </is>
      </c>
      <c r="B4242" s="1" t="n">
        <v>44537</v>
      </c>
      <c r="C4242" s="1" t="n">
        <v>45952</v>
      </c>
      <c r="D4242" t="inlineStr">
        <is>
          <t>ÖREBRO LÄN</t>
        </is>
      </c>
      <c r="E4242" t="inlineStr">
        <is>
          <t>ÖREBRO</t>
        </is>
      </c>
      <c r="G4242" t="n">
        <v>4.3</v>
      </c>
      <c r="H4242" t="n">
        <v>0</v>
      </c>
      <c r="I4242" t="n">
        <v>0</v>
      </c>
      <c r="J4242" t="n">
        <v>0</v>
      </c>
      <c r="K4242" t="n">
        <v>0</v>
      </c>
      <c r="L4242" t="n">
        <v>0</v>
      </c>
      <c r="M4242" t="n">
        <v>0</v>
      </c>
      <c r="N4242" t="n">
        <v>0</v>
      </c>
      <c r="O4242" t="n">
        <v>0</v>
      </c>
      <c r="P4242" t="n">
        <v>0</v>
      </c>
      <c r="Q4242" t="n">
        <v>0</v>
      </c>
      <c r="R4242" s="2" t="inlineStr"/>
    </row>
    <row r="4243" ht="15" customHeight="1">
      <c r="A4243" t="inlineStr">
        <is>
          <t>A 50611-2024</t>
        </is>
      </c>
      <c r="B4243" s="1" t="n">
        <v>45601.63069444444</v>
      </c>
      <c r="C4243" s="1" t="n">
        <v>45952</v>
      </c>
      <c r="D4243" t="inlineStr">
        <is>
          <t>ÖREBRO LÄN</t>
        </is>
      </c>
      <c r="E4243" t="inlineStr">
        <is>
          <t>KARLSKOGA</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34539-2024</t>
        </is>
      </c>
      <c r="B4244" s="1" t="n">
        <v>45525.7374537037</v>
      </c>
      <c r="C4244" s="1" t="n">
        <v>45952</v>
      </c>
      <c r="D4244" t="inlineStr">
        <is>
          <t>ÖREBRO LÄN</t>
        </is>
      </c>
      <c r="E4244" t="inlineStr">
        <is>
          <t>LINDESBERG</t>
        </is>
      </c>
      <c r="G4244" t="n">
        <v>5.4</v>
      </c>
      <c r="H4244" t="n">
        <v>0</v>
      </c>
      <c r="I4244" t="n">
        <v>0</v>
      </c>
      <c r="J4244" t="n">
        <v>0</v>
      </c>
      <c r="K4244" t="n">
        <v>0</v>
      </c>
      <c r="L4244" t="n">
        <v>0</v>
      </c>
      <c r="M4244" t="n">
        <v>0</v>
      </c>
      <c r="N4244" t="n">
        <v>0</v>
      </c>
      <c r="O4244" t="n">
        <v>0</v>
      </c>
      <c r="P4244" t="n">
        <v>0</v>
      </c>
      <c r="Q4244" t="n">
        <v>0</v>
      </c>
      <c r="R4244" s="2" t="inlineStr"/>
    </row>
    <row r="4245" ht="15" customHeight="1">
      <c r="A4245" t="inlineStr">
        <is>
          <t>A 34567-2024</t>
        </is>
      </c>
      <c r="B4245" s="1" t="n">
        <v>45525</v>
      </c>
      <c r="C4245" s="1" t="n">
        <v>45952</v>
      </c>
      <c r="D4245" t="inlineStr">
        <is>
          <t>ÖREBRO LÄN</t>
        </is>
      </c>
      <c r="E4245" t="inlineStr">
        <is>
          <t>LAXÅ</t>
        </is>
      </c>
      <c r="G4245" t="n">
        <v>3.3</v>
      </c>
      <c r="H4245" t="n">
        <v>0</v>
      </c>
      <c r="I4245" t="n">
        <v>0</v>
      </c>
      <c r="J4245" t="n">
        <v>0</v>
      </c>
      <c r="K4245" t="n">
        <v>0</v>
      </c>
      <c r="L4245" t="n">
        <v>0</v>
      </c>
      <c r="M4245" t="n">
        <v>0</v>
      </c>
      <c r="N4245" t="n">
        <v>0</v>
      </c>
      <c r="O4245" t="n">
        <v>0</v>
      </c>
      <c r="P4245" t="n">
        <v>0</v>
      </c>
      <c r="Q4245" t="n">
        <v>0</v>
      </c>
      <c r="R4245" s="2" t="inlineStr"/>
    </row>
    <row r="4246" ht="15" customHeight="1">
      <c r="A4246" t="inlineStr">
        <is>
          <t>A 15594-2025</t>
        </is>
      </c>
      <c r="B4246" s="1" t="n">
        <v>45747.88466435186</v>
      </c>
      <c r="C4246" s="1" t="n">
        <v>45952</v>
      </c>
      <c r="D4246" t="inlineStr">
        <is>
          <t>ÖREBRO LÄN</t>
        </is>
      </c>
      <c r="E4246" t="inlineStr">
        <is>
          <t>DEGERFORS</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55300-2023</t>
        </is>
      </c>
      <c r="B4247" s="1" t="n">
        <v>45237.83621527778</v>
      </c>
      <c r="C4247" s="1" t="n">
        <v>45952</v>
      </c>
      <c r="D4247" t="inlineStr">
        <is>
          <t>ÖREBRO LÄN</t>
        </is>
      </c>
      <c r="E4247" t="inlineStr">
        <is>
          <t>HÄLLEFORS</t>
        </is>
      </c>
      <c r="F4247" t="inlineStr">
        <is>
          <t>Bergvik skog väst AB</t>
        </is>
      </c>
      <c r="G4247" t="n">
        <v>5.1</v>
      </c>
      <c r="H4247" t="n">
        <v>0</v>
      </c>
      <c r="I4247" t="n">
        <v>0</v>
      </c>
      <c r="J4247" t="n">
        <v>0</v>
      </c>
      <c r="K4247" t="n">
        <v>0</v>
      </c>
      <c r="L4247" t="n">
        <v>0</v>
      </c>
      <c r="M4247" t="n">
        <v>0</v>
      </c>
      <c r="N4247" t="n">
        <v>0</v>
      </c>
      <c r="O4247" t="n">
        <v>0</v>
      </c>
      <c r="P4247" t="n">
        <v>0</v>
      </c>
      <c r="Q4247" t="n">
        <v>0</v>
      </c>
      <c r="R4247" s="2" t="inlineStr"/>
    </row>
    <row r="4248" ht="15" customHeight="1">
      <c r="A4248" t="inlineStr">
        <is>
          <t>A 34755-2024</t>
        </is>
      </c>
      <c r="B4248" s="1" t="n">
        <v>45526</v>
      </c>
      <c r="C4248" s="1" t="n">
        <v>45952</v>
      </c>
      <c r="D4248" t="inlineStr">
        <is>
          <t>ÖREBRO LÄN</t>
        </is>
      </c>
      <c r="E4248" t="inlineStr">
        <is>
          <t>NORA</t>
        </is>
      </c>
      <c r="F4248" t="inlineStr">
        <is>
          <t>Övriga Aktiebolag</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60392-2023</t>
        </is>
      </c>
      <c r="B4249" s="1" t="n">
        <v>45259.4353587963</v>
      </c>
      <c r="C4249" s="1" t="n">
        <v>45952</v>
      </c>
      <c r="D4249" t="inlineStr">
        <is>
          <t>ÖREBRO LÄN</t>
        </is>
      </c>
      <c r="E4249" t="inlineStr">
        <is>
          <t>LAXÅ</t>
        </is>
      </c>
      <c r="F4249" t="inlineStr">
        <is>
          <t>Sveaskog</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38071-2025</t>
        </is>
      </c>
      <c r="B4250" s="1" t="n">
        <v>45882.4412037037</v>
      </c>
      <c r="C4250" s="1" t="n">
        <v>45952</v>
      </c>
      <c r="D4250" t="inlineStr">
        <is>
          <t>ÖREBRO LÄN</t>
        </is>
      </c>
      <c r="E4250" t="inlineStr">
        <is>
          <t>KARLSKOGA</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12962-2025</t>
        </is>
      </c>
      <c r="B4251" s="1" t="n">
        <v>45734.42104166667</v>
      </c>
      <c r="C4251" s="1" t="n">
        <v>45952</v>
      </c>
      <c r="D4251" t="inlineStr">
        <is>
          <t>ÖREBRO LÄN</t>
        </is>
      </c>
      <c r="E4251" t="inlineStr">
        <is>
          <t>LAXÅ</t>
        </is>
      </c>
      <c r="F4251" t="inlineStr">
        <is>
          <t>Sveaskog</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41410-2021</t>
        </is>
      </c>
      <c r="B4252" s="1" t="n">
        <v>44424</v>
      </c>
      <c r="C4252" s="1" t="n">
        <v>45952</v>
      </c>
      <c r="D4252" t="inlineStr">
        <is>
          <t>ÖREBRO LÄN</t>
        </is>
      </c>
      <c r="E4252" t="inlineStr">
        <is>
          <t>HALLSBERG</t>
        </is>
      </c>
      <c r="F4252" t="inlineStr">
        <is>
          <t>Sveaskog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16694-2025</t>
        </is>
      </c>
      <c r="B4253" s="1" t="n">
        <v>45754.46480324074</v>
      </c>
      <c r="C4253" s="1" t="n">
        <v>45952</v>
      </c>
      <c r="D4253" t="inlineStr">
        <is>
          <t>ÖREBRO LÄN</t>
        </is>
      </c>
      <c r="E4253" t="inlineStr">
        <is>
          <t>ÖREBRO</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38057-2025</t>
        </is>
      </c>
      <c r="B4254" s="1" t="n">
        <v>45882.42570601852</v>
      </c>
      <c r="C4254" s="1" t="n">
        <v>45952</v>
      </c>
      <c r="D4254" t="inlineStr">
        <is>
          <t>ÖREBRO LÄN</t>
        </is>
      </c>
      <c r="E4254" t="inlineStr">
        <is>
          <t>ÖREBRO</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38008-2025</t>
        </is>
      </c>
      <c r="B4255" s="1" t="n">
        <v>45882.29001157408</v>
      </c>
      <c r="C4255" s="1" t="n">
        <v>45952</v>
      </c>
      <c r="D4255" t="inlineStr">
        <is>
          <t>ÖREBRO LÄN</t>
        </is>
      </c>
      <c r="E4255" t="inlineStr">
        <is>
          <t>HALLSBERG</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37797-2025</t>
        </is>
      </c>
      <c r="B4256" s="1" t="n">
        <v>45881.34215277778</v>
      </c>
      <c r="C4256" s="1" t="n">
        <v>45952</v>
      </c>
      <c r="D4256" t="inlineStr">
        <is>
          <t>ÖREBRO LÄN</t>
        </is>
      </c>
      <c r="E4256" t="inlineStr">
        <is>
          <t>HALLSBERG</t>
        </is>
      </c>
      <c r="G4256" t="n">
        <v>3.6</v>
      </c>
      <c r="H4256" t="n">
        <v>0</v>
      </c>
      <c r="I4256" t="n">
        <v>0</v>
      </c>
      <c r="J4256" t="n">
        <v>0</v>
      </c>
      <c r="K4256" t="n">
        <v>0</v>
      </c>
      <c r="L4256" t="n">
        <v>0</v>
      </c>
      <c r="M4256" t="n">
        <v>0</v>
      </c>
      <c r="N4256" t="n">
        <v>0</v>
      </c>
      <c r="O4256" t="n">
        <v>0</v>
      </c>
      <c r="P4256" t="n">
        <v>0</v>
      </c>
      <c r="Q4256" t="n">
        <v>0</v>
      </c>
      <c r="R4256" s="2" t="inlineStr"/>
    </row>
    <row r="4257" ht="15" customHeight="1">
      <c r="A4257" t="inlineStr">
        <is>
          <t>A 38148-2025</t>
        </is>
      </c>
      <c r="B4257" s="1" t="n">
        <v>45882.58855324074</v>
      </c>
      <c r="C4257" s="1" t="n">
        <v>45952</v>
      </c>
      <c r="D4257" t="inlineStr">
        <is>
          <t>ÖREBRO LÄN</t>
        </is>
      </c>
      <c r="E4257" t="inlineStr">
        <is>
          <t>HÄLLEFORS</t>
        </is>
      </c>
      <c r="F4257" t="inlineStr">
        <is>
          <t>Bergvik skog väst AB</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30374-2023</t>
        </is>
      </c>
      <c r="B4258" s="1" t="n">
        <v>45111</v>
      </c>
      <c r="C4258" s="1" t="n">
        <v>45952</v>
      </c>
      <c r="D4258" t="inlineStr">
        <is>
          <t>ÖREBRO LÄN</t>
        </is>
      </c>
      <c r="E4258" t="inlineStr">
        <is>
          <t>ÖREBRO</t>
        </is>
      </c>
      <c r="F4258" t="inlineStr">
        <is>
          <t>Övriga Aktiebolag</t>
        </is>
      </c>
      <c r="G4258" t="n">
        <v>2.3</v>
      </c>
      <c r="H4258" t="n">
        <v>0</v>
      </c>
      <c r="I4258" t="n">
        <v>0</v>
      </c>
      <c r="J4258" t="n">
        <v>0</v>
      </c>
      <c r="K4258" t="n">
        <v>0</v>
      </c>
      <c r="L4258" t="n">
        <v>0</v>
      </c>
      <c r="M4258" t="n">
        <v>0</v>
      </c>
      <c r="N4258" t="n">
        <v>0</v>
      </c>
      <c r="O4258" t="n">
        <v>0</v>
      </c>
      <c r="P4258" t="n">
        <v>0</v>
      </c>
      <c r="Q4258" t="n">
        <v>0</v>
      </c>
      <c r="R4258" s="2" t="inlineStr"/>
    </row>
    <row r="4259" ht="15" customHeight="1">
      <c r="A4259" t="inlineStr">
        <is>
          <t>A 30414-2023</t>
        </is>
      </c>
      <c r="B4259" s="1" t="n">
        <v>45111.5005787037</v>
      </c>
      <c r="C4259" s="1" t="n">
        <v>45952</v>
      </c>
      <c r="D4259" t="inlineStr">
        <is>
          <t>ÖREBRO LÄN</t>
        </is>
      </c>
      <c r="E4259" t="inlineStr">
        <is>
          <t>LJUSNARSBERG</t>
        </is>
      </c>
      <c r="F4259" t="inlineStr">
        <is>
          <t>Bergvik skog väst AB</t>
        </is>
      </c>
      <c r="G4259" t="n">
        <v>12.8</v>
      </c>
      <c r="H4259" t="n">
        <v>0</v>
      </c>
      <c r="I4259" t="n">
        <v>0</v>
      </c>
      <c r="J4259" t="n">
        <v>0</v>
      </c>
      <c r="K4259" t="n">
        <v>0</v>
      </c>
      <c r="L4259" t="n">
        <v>0</v>
      </c>
      <c r="M4259" t="n">
        <v>0</v>
      </c>
      <c r="N4259" t="n">
        <v>0</v>
      </c>
      <c r="O4259" t="n">
        <v>0</v>
      </c>
      <c r="P4259" t="n">
        <v>0</v>
      </c>
      <c r="Q4259" t="n">
        <v>0</v>
      </c>
      <c r="R4259" s="2" t="inlineStr"/>
    </row>
    <row r="4260" ht="15" customHeight="1">
      <c r="A4260" t="inlineStr">
        <is>
          <t>A 44313-2025</t>
        </is>
      </c>
      <c r="B4260" s="1" t="n">
        <v>45915</v>
      </c>
      <c r="C4260" s="1" t="n">
        <v>45952</v>
      </c>
      <c r="D4260" t="inlineStr">
        <is>
          <t>ÖREBRO LÄN</t>
        </is>
      </c>
      <c r="E4260" t="inlineStr">
        <is>
          <t>LAXÅ</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46236-2025</t>
        </is>
      </c>
      <c r="B4261" s="1" t="n">
        <v>45925.30702546296</v>
      </c>
      <c r="C4261" s="1" t="n">
        <v>45952</v>
      </c>
      <c r="D4261" t="inlineStr">
        <is>
          <t>ÖREBRO LÄN</t>
        </is>
      </c>
      <c r="E4261" t="inlineStr">
        <is>
          <t>LINDESBERG</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18535-2025</t>
        </is>
      </c>
      <c r="B4262" s="1" t="n">
        <v>45763</v>
      </c>
      <c r="C4262" s="1" t="n">
        <v>45952</v>
      </c>
      <c r="D4262" t="inlineStr">
        <is>
          <t>ÖREBRO LÄN</t>
        </is>
      </c>
      <c r="E4262" t="inlineStr">
        <is>
          <t>HÄLLEFORS</t>
        </is>
      </c>
      <c r="F4262" t="inlineStr">
        <is>
          <t>Bergvik skog väst AB</t>
        </is>
      </c>
      <c r="G4262" t="n">
        <v>3.7</v>
      </c>
      <c r="H4262" t="n">
        <v>0</v>
      </c>
      <c r="I4262" t="n">
        <v>0</v>
      </c>
      <c r="J4262" t="n">
        <v>0</v>
      </c>
      <c r="K4262" t="n">
        <v>0</v>
      </c>
      <c r="L4262" t="n">
        <v>0</v>
      </c>
      <c r="M4262" t="n">
        <v>0</v>
      </c>
      <c r="N4262" t="n">
        <v>0</v>
      </c>
      <c r="O4262" t="n">
        <v>0</v>
      </c>
      <c r="P4262" t="n">
        <v>0</v>
      </c>
      <c r="Q4262" t="n">
        <v>0</v>
      </c>
      <c r="R4262" s="2" t="inlineStr"/>
    </row>
    <row r="4263" ht="15" customHeight="1">
      <c r="A4263" t="inlineStr">
        <is>
          <t>A 38898-2023</t>
        </is>
      </c>
      <c r="B4263" s="1" t="n">
        <v>45163</v>
      </c>
      <c r="C4263" s="1" t="n">
        <v>45952</v>
      </c>
      <c r="D4263" t="inlineStr">
        <is>
          <t>ÖREBRO LÄN</t>
        </is>
      </c>
      <c r="E4263" t="inlineStr">
        <is>
          <t>ÖREBRO</t>
        </is>
      </c>
      <c r="G4263" t="n">
        <v>5.1</v>
      </c>
      <c r="H4263" t="n">
        <v>0</v>
      </c>
      <c r="I4263" t="n">
        <v>0</v>
      </c>
      <c r="J4263" t="n">
        <v>0</v>
      </c>
      <c r="K4263" t="n">
        <v>0</v>
      </c>
      <c r="L4263" t="n">
        <v>0</v>
      </c>
      <c r="M4263" t="n">
        <v>0</v>
      </c>
      <c r="N4263" t="n">
        <v>0</v>
      </c>
      <c r="O4263" t="n">
        <v>0</v>
      </c>
      <c r="P4263" t="n">
        <v>0</v>
      </c>
      <c r="Q4263" t="n">
        <v>0</v>
      </c>
      <c r="R4263" s="2" t="inlineStr"/>
    </row>
    <row r="4264" ht="15" customHeight="1">
      <c r="A4264" t="inlineStr">
        <is>
          <t>A 38917-2023</t>
        </is>
      </c>
      <c r="B4264" s="1" t="n">
        <v>45163</v>
      </c>
      <c r="C4264" s="1" t="n">
        <v>45952</v>
      </c>
      <c r="D4264" t="inlineStr">
        <is>
          <t>ÖREBRO LÄN</t>
        </is>
      </c>
      <c r="E4264" t="inlineStr">
        <is>
          <t>DEGERFORS</t>
        </is>
      </c>
      <c r="F4264" t="inlineStr">
        <is>
          <t>Sveaskog</t>
        </is>
      </c>
      <c r="G4264" t="n">
        <v>2.2</v>
      </c>
      <c r="H4264" t="n">
        <v>0</v>
      </c>
      <c r="I4264" t="n">
        <v>0</v>
      </c>
      <c r="J4264" t="n">
        <v>0</v>
      </c>
      <c r="K4264" t="n">
        <v>0</v>
      </c>
      <c r="L4264" t="n">
        <v>0</v>
      </c>
      <c r="M4264" t="n">
        <v>0</v>
      </c>
      <c r="N4264" t="n">
        <v>0</v>
      </c>
      <c r="O4264" t="n">
        <v>0</v>
      </c>
      <c r="P4264" t="n">
        <v>0</v>
      </c>
      <c r="Q4264" t="n">
        <v>0</v>
      </c>
      <c r="R4264" s="2" t="inlineStr"/>
    </row>
    <row r="4265" ht="15" customHeight="1">
      <c r="A4265" t="inlineStr">
        <is>
          <t>A 38955-2023</t>
        </is>
      </c>
      <c r="B4265" s="1" t="n">
        <v>45163</v>
      </c>
      <c r="C4265" s="1" t="n">
        <v>45952</v>
      </c>
      <c r="D4265" t="inlineStr">
        <is>
          <t>ÖREBRO LÄN</t>
        </is>
      </c>
      <c r="E4265" t="inlineStr">
        <is>
          <t>LEKEBERG</t>
        </is>
      </c>
      <c r="G4265" t="n">
        <v>1.8</v>
      </c>
      <c r="H4265" t="n">
        <v>0</v>
      </c>
      <c r="I4265" t="n">
        <v>0</v>
      </c>
      <c r="J4265" t="n">
        <v>0</v>
      </c>
      <c r="K4265" t="n">
        <v>0</v>
      </c>
      <c r="L4265" t="n">
        <v>0</v>
      </c>
      <c r="M4265" t="n">
        <v>0</v>
      </c>
      <c r="N4265" t="n">
        <v>0</v>
      </c>
      <c r="O4265" t="n">
        <v>0</v>
      </c>
      <c r="P4265" t="n">
        <v>0</v>
      </c>
      <c r="Q4265" t="n">
        <v>0</v>
      </c>
      <c r="R4265" s="2" t="inlineStr"/>
    </row>
    <row r="4266" ht="15" customHeight="1">
      <c r="A4266" t="inlineStr">
        <is>
          <t>A 5764-2022</t>
        </is>
      </c>
      <c r="B4266" s="1" t="n">
        <v>44596</v>
      </c>
      <c r="C4266" s="1" t="n">
        <v>45952</v>
      </c>
      <c r="D4266" t="inlineStr">
        <is>
          <t>ÖREBRO LÄN</t>
        </is>
      </c>
      <c r="E4266" t="inlineStr">
        <is>
          <t>ÖREBRO</t>
        </is>
      </c>
      <c r="G4266" t="n">
        <v>3.5</v>
      </c>
      <c r="H4266" t="n">
        <v>0</v>
      </c>
      <c r="I4266" t="n">
        <v>0</v>
      </c>
      <c r="J4266" t="n">
        <v>0</v>
      </c>
      <c r="K4266" t="n">
        <v>0</v>
      </c>
      <c r="L4266" t="n">
        <v>0</v>
      </c>
      <c r="M4266" t="n">
        <v>0</v>
      </c>
      <c r="N4266" t="n">
        <v>0</v>
      </c>
      <c r="O4266" t="n">
        <v>0</v>
      </c>
      <c r="P4266" t="n">
        <v>0</v>
      </c>
      <c r="Q4266" t="n">
        <v>0</v>
      </c>
      <c r="R4266" s="2" t="inlineStr"/>
    </row>
    <row r="4267" ht="15" customHeight="1">
      <c r="A4267" t="inlineStr">
        <is>
          <t>A 41951-2023</t>
        </is>
      </c>
      <c r="B4267" s="1" t="n">
        <v>45177.33991898148</v>
      </c>
      <c r="C4267" s="1" t="n">
        <v>45952</v>
      </c>
      <c r="D4267" t="inlineStr">
        <is>
          <t>ÖREBRO LÄN</t>
        </is>
      </c>
      <c r="E4267" t="inlineStr">
        <is>
          <t>LINDESBERG</t>
        </is>
      </c>
      <c r="F4267" t="inlineStr">
        <is>
          <t>Kyrkan</t>
        </is>
      </c>
      <c r="G4267" t="n">
        <v>3.3</v>
      </c>
      <c r="H4267" t="n">
        <v>0</v>
      </c>
      <c r="I4267" t="n">
        <v>0</v>
      </c>
      <c r="J4267" t="n">
        <v>0</v>
      </c>
      <c r="K4267" t="n">
        <v>0</v>
      </c>
      <c r="L4267" t="n">
        <v>0</v>
      </c>
      <c r="M4267" t="n">
        <v>0</v>
      </c>
      <c r="N4267" t="n">
        <v>0</v>
      </c>
      <c r="O4267" t="n">
        <v>0</v>
      </c>
      <c r="P4267" t="n">
        <v>0</v>
      </c>
      <c r="Q4267" t="n">
        <v>0</v>
      </c>
      <c r="R4267" s="2" t="inlineStr"/>
    </row>
    <row r="4268" ht="15" customHeight="1">
      <c r="A4268" t="inlineStr">
        <is>
          <t>A 5781-2022</t>
        </is>
      </c>
      <c r="B4268" s="1" t="n">
        <v>44596</v>
      </c>
      <c r="C4268" s="1" t="n">
        <v>45952</v>
      </c>
      <c r="D4268" t="inlineStr">
        <is>
          <t>ÖREBRO LÄN</t>
        </is>
      </c>
      <c r="E4268" t="inlineStr">
        <is>
          <t>KUMLA</t>
        </is>
      </c>
      <c r="G4268" t="n">
        <v>4.8</v>
      </c>
      <c r="H4268" t="n">
        <v>0</v>
      </c>
      <c r="I4268" t="n">
        <v>0</v>
      </c>
      <c r="J4268" t="n">
        <v>0</v>
      </c>
      <c r="K4268" t="n">
        <v>0</v>
      </c>
      <c r="L4268" t="n">
        <v>0</v>
      </c>
      <c r="M4268" t="n">
        <v>0</v>
      </c>
      <c r="N4268" t="n">
        <v>0</v>
      </c>
      <c r="O4268" t="n">
        <v>0</v>
      </c>
      <c r="P4268" t="n">
        <v>0</v>
      </c>
      <c r="Q4268" t="n">
        <v>0</v>
      </c>
      <c r="R4268" s="2" t="inlineStr"/>
    </row>
    <row r="4269" ht="15" customHeight="1">
      <c r="A4269" t="inlineStr">
        <is>
          <t>A 21036-2024</t>
        </is>
      </c>
      <c r="B4269" s="1" t="n">
        <v>45439.65954861111</v>
      </c>
      <c r="C4269" s="1" t="n">
        <v>45952</v>
      </c>
      <c r="D4269" t="inlineStr">
        <is>
          <t>ÖREBRO LÄN</t>
        </is>
      </c>
      <c r="E4269" t="inlineStr">
        <is>
          <t>ÖREBRO</t>
        </is>
      </c>
      <c r="F4269" t="inlineStr">
        <is>
          <t>Övriga Aktiebolag</t>
        </is>
      </c>
      <c r="G4269" t="n">
        <v>5.7</v>
      </c>
      <c r="H4269" t="n">
        <v>0</v>
      </c>
      <c r="I4269" t="n">
        <v>0</v>
      </c>
      <c r="J4269" t="n">
        <v>0</v>
      </c>
      <c r="K4269" t="n">
        <v>0</v>
      </c>
      <c r="L4269" t="n">
        <v>0</v>
      </c>
      <c r="M4269" t="n">
        <v>0</v>
      </c>
      <c r="N4269" t="n">
        <v>0</v>
      </c>
      <c r="O4269" t="n">
        <v>0</v>
      </c>
      <c r="P4269" t="n">
        <v>0</v>
      </c>
      <c r="Q4269" t="n">
        <v>0</v>
      </c>
      <c r="R4269" s="2" t="inlineStr"/>
    </row>
    <row r="4270" ht="15" customHeight="1">
      <c r="A4270" t="inlineStr">
        <is>
          <t>A 46061-2024</t>
        </is>
      </c>
      <c r="B4270" s="1" t="n">
        <v>45580.93525462963</v>
      </c>
      <c r="C4270" s="1" t="n">
        <v>45952</v>
      </c>
      <c r="D4270" t="inlineStr">
        <is>
          <t>ÖREBRO LÄN</t>
        </is>
      </c>
      <c r="E4270" t="inlineStr">
        <is>
          <t>HALLSBERG</t>
        </is>
      </c>
      <c r="F4270" t="inlineStr">
        <is>
          <t>Övriga Aktiebolag</t>
        </is>
      </c>
      <c r="G4270" t="n">
        <v>5.2</v>
      </c>
      <c r="H4270" t="n">
        <v>0</v>
      </c>
      <c r="I4270" t="n">
        <v>0</v>
      </c>
      <c r="J4270" t="n">
        <v>0</v>
      </c>
      <c r="K4270" t="n">
        <v>0</v>
      </c>
      <c r="L4270" t="n">
        <v>0</v>
      </c>
      <c r="M4270" t="n">
        <v>0</v>
      </c>
      <c r="N4270" t="n">
        <v>0</v>
      </c>
      <c r="O4270" t="n">
        <v>0</v>
      </c>
      <c r="P4270" t="n">
        <v>0</v>
      </c>
      <c r="Q4270" t="n">
        <v>0</v>
      </c>
      <c r="R4270" s="2" t="inlineStr"/>
    </row>
    <row r="4271" ht="15" customHeight="1">
      <c r="A4271" t="inlineStr">
        <is>
          <t>A 59637-2021</t>
        </is>
      </c>
      <c r="B4271" s="1" t="n">
        <v>44493</v>
      </c>
      <c r="C4271" s="1" t="n">
        <v>45952</v>
      </c>
      <c r="D4271" t="inlineStr">
        <is>
          <t>ÖREBRO LÄN</t>
        </is>
      </c>
      <c r="E4271" t="inlineStr">
        <is>
          <t>NORA</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58603-2023</t>
        </is>
      </c>
      <c r="B4272" s="1" t="n">
        <v>45251</v>
      </c>
      <c r="C4272" s="1" t="n">
        <v>45952</v>
      </c>
      <c r="D4272" t="inlineStr">
        <is>
          <t>ÖREBRO LÄN</t>
        </is>
      </c>
      <c r="E4272" t="inlineStr">
        <is>
          <t>LINDESBERG</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46484-2025</t>
        </is>
      </c>
      <c r="B4273" s="1" t="n">
        <v>45925.70290509259</v>
      </c>
      <c r="C4273" s="1" t="n">
        <v>45952</v>
      </c>
      <c r="D4273" t="inlineStr">
        <is>
          <t>ÖREBRO LÄN</t>
        </is>
      </c>
      <c r="E4273" t="inlineStr">
        <is>
          <t>LINDESBERG</t>
        </is>
      </c>
      <c r="F4273" t="inlineStr">
        <is>
          <t>Sveaskog</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22814-2024</t>
        </is>
      </c>
      <c r="B4274" s="1" t="n">
        <v>45448</v>
      </c>
      <c r="C4274" s="1" t="n">
        <v>45952</v>
      </c>
      <c r="D4274" t="inlineStr">
        <is>
          <t>ÖREBRO LÄN</t>
        </is>
      </c>
      <c r="E4274" t="inlineStr">
        <is>
          <t>ASKERSUND</t>
        </is>
      </c>
      <c r="F4274" t="inlineStr">
        <is>
          <t>Övriga Aktiebolag</t>
        </is>
      </c>
      <c r="G4274" t="n">
        <v>5.2</v>
      </c>
      <c r="H4274" t="n">
        <v>0</v>
      </c>
      <c r="I4274" t="n">
        <v>0</v>
      </c>
      <c r="J4274" t="n">
        <v>0</v>
      </c>
      <c r="K4274" t="n">
        <v>0</v>
      </c>
      <c r="L4274" t="n">
        <v>0</v>
      </c>
      <c r="M4274" t="n">
        <v>0</v>
      </c>
      <c r="N4274" t="n">
        <v>0</v>
      </c>
      <c r="O4274" t="n">
        <v>0</v>
      </c>
      <c r="P4274" t="n">
        <v>0</v>
      </c>
      <c r="Q4274" t="n">
        <v>0</v>
      </c>
      <c r="R4274" s="2" t="inlineStr"/>
    </row>
    <row r="4275" ht="15" customHeight="1">
      <c r="A4275" t="inlineStr">
        <is>
          <t>A 30102-2024</t>
        </is>
      </c>
      <c r="B4275" s="1" t="n">
        <v>45489.41846064815</v>
      </c>
      <c r="C4275" s="1" t="n">
        <v>45952</v>
      </c>
      <c r="D4275" t="inlineStr">
        <is>
          <t>ÖREBRO LÄN</t>
        </is>
      </c>
      <c r="E4275" t="inlineStr">
        <is>
          <t>ASKERSUND</t>
        </is>
      </c>
      <c r="F4275" t="inlineStr">
        <is>
          <t>Sveaskog</t>
        </is>
      </c>
      <c r="G4275" t="n">
        <v>2.9</v>
      </c>
      <c r="H4275" t="n">
        <v>0</v>
      </c>
      <c r="I4275" t="n">
        <v>0</v>
      </c>
      <c r="J4275" t="n">
        <v>0</v>
      </c>
      <c r="K4275" t="n">
        <v>0</v>
      </c>
      <c r="L4275" t="n">
        <v>0</v>
      </c>
      <c r="M4275" t="n">
        <v>0</v>
      </c>
      <c r="N4275" t="n">
        <v>0</v>
      </c>
      <c r="O4275" t="n">
        <v>0</v>
      </c>
      <c r="P4275" t="n">
        <v>0</v>
      </c>
      <c r="Q4275" t="n">
        <v>0</v>
      </c>
      <c r="R4275" s="2" t="inlineStr"/>
    </row>
    <row r="4276" ht="15" customHeight="1">
      <c r="A4276" t="inlineStr">
        <is>
          <t>A 59976-2024</t>
        </is>
      </c>
      <c r="B4276" s="1" t="n">
        <v>45642.37226851852</v>
      </c>
      <c r="C4276" s="1" t="n">
        <v>45952</v>
      </c>
      <c r="D4276" t="inlineStr">
        <is>
          <t>ÖREBRO LÄN</t>
        </is>
      </c>
      <c r="E4276" t="inlineStr">
        <is>
          <t>HÄLLEFORS</t>
        </is>
      </c>
      <c r="F4276" t="inlineStr">
        <is>
          <t>Bergvik skog väst AB</t>
        </is>
      </c>
      <c r="G4276" t="n">
        <v>8.9</v>
      </c>
      <c r="H4276" t="n">
        <v>0</v>
      </c>
      <c r="I4276" t="n">
        <v>0</v>
      </c>
      <c r="J4276" t="n">
        <v>0</v>
      </c>
      <c r="K4276" t="n">
        <v>0</v>
      </c>
      <c r="L4276" t="n">
        <v>0</v>
      </c>
      <c r="M4276" t="n">
        <v>0</v>
      </c>
      <c r="N4276" t="n">
        <v>0</v>
      </c>
      <c r="O4276" t="n">
        <v>0</v>
      </c>
      <c r="P4276" t="n">
        <v>0</v>
      </c>
      <c r="Q4276" t="n">
        <v>0</v>
      </c>
      <c r="R4276" s="2" t="inlineStr"/>
    </row>
    <row r="4277" ht="15" customHeight="1">
      <c r="A4277" t="inlineStr">
        <is>
          <t>A 10882-2024</t>
        </is>
      </c>
      <c r="B4277" s="1" t="n">
        <v>45370</v>
      </c>
      <c r="C4277" s="1" t="n">
        <v>45952</v>
      </c>
      <c r="D4277" t="inlineStr">
        <is>
          <t>ÖREBRO LÄN</t>
        </is>
      </c>
      <c r="E4277" t="inlineStr">
        <is>
          <t>NORA</t>
        </is>
      </c>
      <c r="F4277" t="inlineStr">
        <is>
          <t>Sveaskog</t>
        </is>
      </c>
      <c r="G4277" t="n">
        <v>5.7</v>
      </c>
      <c r="H4277" t="n">
        <v>0</v>
      </c>
      <c r="I4277" t="n">
        <v>0</v>
      </c>
      <c r="J4277" t="n">
        <v>0</v>
      </c>
      <c r="K4277" t="n">
        <v>0</v>
      </c>
      <c r="L4277" t="n">
        <v>0</v>
      </c>
      <c r="M4277" t="n">
        <v>0</v>
      </c>
      <c r="N4277" t="n">
        <v>0</v>
      </c>
      <c r="O4277" t="n">
        <v>0</v>
      </c>
      <c r="P4277" t="n">
        <v>0</v>
      </c>
      <c r="Q4277" t="n">
        <v>0</v>
      </c>
      <c r="R4277" s="2" t="inlineStr"/>
    </row>
    <row r="4278" ht="15" customHeight="1">
      <c r="A4278" t="inlineStr">
        <is>
          <t>A 13468-2024</t>
        </is>
      </c>
      <c r="B4278" s="1" t="n">
        <v>45387.57523148148</v>
      </c>
      <c r="C4278" s="1" t="n">
        <v>45952</v>
      </c>
      <c r="D4278" t="inlineStr">
        <is>
          <t>ÖREBRO LÄN</t>
        </is>
      </c>
      <c r="E4278" t="inlineStr">
        <is>
          <t>HALLSBERG</t>
        </is>
      </c>
      <c r="G4278" t="n">
        <v>0.5</v>
      </c>
      <c r="H4278" t="n">
        <v>0</v>
      </c>
      <c r="I4278" t="n">
        <v>0</v>
      </c>
      <c r="J4278" t="n">
        <v>0</v>
      </c>
      <c r="K4278" t="n">
        <v>0</v>
      </c>
      <c r="L4278" t="n">
        <v>0</v>
      </c>
      <c r="M4278" t="n">
        <v>0</v>
      </c>
      <c r="N4278" t="n">
        <v>0</v>
      </c>
      <c r="O4278" t="n">
        <v>0</v>
      </c>
      <c r="P4278" t="n">
        <v>0</v>
      </c>
      <c r="Q4278" t="n">
        <v>0</v>
      </c>
      <c r="R4278" s="2" t="inlineStr"/>
    </row>
    <row r="4279" ht="15" customHeight="1">
      <c r="A4279" t="inlineStr">
        <is>
          <t>A 8295-2024</t>
        </is>
      </c>
      <c r="B4279" s="1" t="n">
        <v>45352.43674768518</v>
      </c>
      <c r="C4279" s="1" t="n">
        <v>45952</v>
      </c>
      <c r="D4279" t="inlineStr">
        <is>
          <t>ÖREBRO LÄN</t>
        </is>
      </c>
      <c r="E4279" t="inlineStr">
        <is>
          <t>NORA</t>
        </is>
      </c>
      <c r="G4279" t="n">
        <v>5.1</v>
      </c>
      <c r="H4279" t="n">
        <v>0</v>
      </c>
      <c r="I4279" t="n">
        <v>0</v>
      </c>
      <c r="J4279" t="n">
        <v>0</v>
      </c>
      <c r="K4279" t="n">
        <v>0</v>
      </c>
      <c r="L4279" t="n">
        <v>0</v>
      </c>
      <c r="M4279" t="n">
        <v>0</v>
      </c>
      <c r="N4279" t="n">
        <v>0</v>
      </c>
      <c r="O4279" t="n">
        <v>0</v>
      </c>
      <c r="P4279" t="n">
        <v>0</v>
      </c>
      <c r="Q4279" t="n">
        <v>0</v>
      </c>
      <c r="R4279" s="2" t="inlineStr"/>
    </row>
    <row r="4280" ht="15" customHeight="1">
      <c r="A4280" t="inlineStr">
        <is>
          <t>A 14187-2024</t>
        </is>
      </c>
      <c r="B4280" s="1" t="n">
        <v>45393.35787037037</v>
      </c>
      <c r="C4280" s="1" t="n">
        <v>45952</v>
      </c>
      <c r="D4280" t="inlineStr">
        <is>
          <t>ÖREBRO LÄN</t>
        </is>
      </c>
      <c r="E4280" t="inlineStr">
        <is>
          <t>LINDESBERG</t>
        </is>
      </c>
      <c r="F4280" t="inlineStr">
        <is>
          <t>Sveaskog</t>
        </is>
      </c>
      <c r="G4280" t="n">
        <v>0.3</v>
      </c>
      <c r="H4280" t="n">
        <v>0</v>
      </c>
      <c r="I4280" t="n">
        <v>0</v>
      </c>
      <c r="J4280" t="n">
        <v>0</v>
      </c>
      <c r="K4280" t="n">
        <v>0</v>
      </c>
      <c r="L4280" t="n">
        <v>0</v>
      </c>
      <c r="M4280" t="n">
        <v>0</v>
      </c>
      <c r="N4280" t="n">
        <v>0</v>
      </c>
      <c r="O4280" t="n">
        <v>0</v>
      </c>
      <c r="P4280" t="n">
        <v>0</v>
      </c>
      <c r="Q4280" t="n">
        <v>0</v>
      </c>
      <c r="R4280" s="2" t="inlineStr"/>
    </row>
    <row r="4281" ht="15" customHeight="1">
      <c r="A4281" t="inlineStr">
        <is>
          <t>A 18400-2025</t>
        </is>
      </c>
      <c r="B4281" s="1" t="n">
        <v>45762.59549768519</v>
      </c>
      <c r="C4281" s="1" t="n">
        <v>45952</v>
      </c>
      <c r="D4281" t="inlineStr">
        <is>
          <t>ÖREBRO LÄN</t>
        </is>
      </c>
      <c r="E4281" t="inlineStr">
        <is>
          <t>LEKEBERG</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18418-2025</t>
        </is>
      </c>
      <c r="B4282" s="1" t="n">
        <v>45762.61817129629</v>
      </c>
      <c r="C4282" s="1" t="n">
        <v>45952</v>
      </c>
      <c r="D4282" t="inlineStr">
        <is>
          <t>ÖREBRO LÄN</t>
        </is>
      </c>
      <c r="E4282" t="inlineStr">
        <is>
          <t>LINDESBERG</t>
        </is>
      </c>
      <c r="G4282" t="n">
        <v>2.3</v>
      </c>
      <c r="H4282" t="n">
        <v>0</v>
      </c>
      <c r="I4282" t="n">
        <v>0</v>
      </c>
      <c r="J4282" t="n">
        <v>0</v>
      </c>
      <c r="K4282" t="n">
        <v>0</v>
      </c>
      <c r="L4282" t="n">
        <v>0</v>
      </c>
      <c r="M4282" t="n">
        <v>0</v>
      </c>
      <c r="N4282" t="n">
        <v>0</v>
      </c>
      <c r="O4282" t="n">
        <v>0</v>
      </c>
      <c r="P4282" t="n">
        <v>0</v>
      </c>
      <c r="Q4282" t="n">
        <v>0</v>
      </c>
      <c r="R4282" s="2" t="inlineStr"/>
    </row>
    <row r="4283" ht="15" customHeight="1">
      <c r="A4283" t="inlineStr">
        <is>
          <t>A 59181-2020</t>
        </is>
      </c>
      <c r="B4283" s="1" t="n">
        <v>44147.56386574074</v>
      </c>
      <c r="C4283" s="1" t="n">
        <v>45952</v>
      </c>
      <c r="D4283" t="inlineStr">
        <is>
          <t>ÖREBRO LÄN</t>
        </is>
      </c>
      <c r="E4283" t="inlineStr">
        <is>
          <t>KUMLA</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67439-2021</t>
        </is>
      </c>
      <c r="B4284" s="1" t="n">
        <v>44523</v>
      </c>
      <c r="C4284" s="1" t="n">
        <v>45952</v>
      </c>
      <c r="D4284" t="inlineStr">
        <is>
          <t>ÖREBRO LÄN</t>
        </is>
      </c>
      <c r="E4284" t="inlineStr">
        <is>
          <t>HÄLLEFORS</t>
        </is>
      </c>
      <c r="G4284" t="n">
        <v>1.9</v>
      </c>
      <c r="H4284" t="n">
        <v>0</v>
      </c>
      <c r="I4284" t="n">
        <v>0</v>
      </c>
      <c r="J4284" t="n">
        <v>0</v>
      </c>
      <c r="K4284" t="n">
        <v>0</v>
      </c>
      <c r="L4284" t="n">
        <v>0</v>
      </c>
      <c r="M4284" t="n">
        <v>0</v>
      </c>
      <c r="N4284" t="n">
        <v>0</v>
      </c>
      <c r="O4284" t="n">
        <v>0</v>
      </c>
      <c r="P4284" t="n">
        <v>0</v>
      </c>
      <c r="Q4284" t="n">
        <v>0</v>
      </c>
      <c r="R4284" s="2" t="inlineStr"/>
    </row>
    <row r="4285" ht="15" customHeight="1">
      <c r="A4285" t="inlineStr">
        <is>
          <t>A 31668-2024</t>
        </is>
      </c>
      <c r="B4285" s="1" t="n">
        <v>45506.94680555556</v>
      </c>
      <c r="C4285" s="1" t="n">
        <v>45952</v>
      </c>
      <c r="D4285" t="inlineStr">
        <is>
          <t>ÖREBRO LÄN</t>
        </is>
      </c>
      <c r="E4285" t="inlineStr">
        <is>
          <t>ASKERSUND</t>
        </is>
      </c>
      <c r="F4285" t="inlineStr">
        <is>
          <t>Sveaskog</t>
        </is>
      </c>
      <c r="G4285" t="n">
        <v>0.2</v>
      </c>
      <c r="H4285" t="n">
        <v>0</v>
      </c>
      <c r="I4285" t="n">
        <v>0</v>
      </c>
      <c r="J4285" t="n">
        <v>0</v>
      </c>
      <c r="K4285" t="n">
        <v>0</v>
      </c>
      <c r="L4285" t="n">
        <v>0</v>
      </c>
      <c r="M4285" t="n">
        <v>0</v>
      </c>
      <c r="N4285" t="n">
        <v>0</v>
      </c>
      <c r="O4285" t="n">
        <v>0</v>
      </c>
      <c r="P4285" t="n">
        <v>0</v>
      </c>
      <c r="Q4285" t="n">
        <v>0</v>
      </c>
      <c r="R4285" s="2" t="inlineStr"/>
    </row>
    <row r="4286" ht="15" customHeight="1">
      <c r="A4286" t="inlineStr">
        <is>
          <t>A 29849-2023</t>
        </is>
      </c>
      <c r="B4286" s="1" t="n">
        <v>45107</v>
      </c>
      <c r="C4286" s="1" t="n">
        <v>45952</v>
      </c>
      <c r="D4286" t="inlineStr">
        <is>
          <t>ÖREBRO LÄN</t>
        </is>
      </c>
      <c r="E4286" t="inlineStr">
        <is>
          <t>LINDESBERG</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60105-2022</t>
        </is>
      </c>
      <c r="B4287" s="1" t="n">
        <v>44902</v>
      </c>
      <c r="C4287" s="1" t="n">
        <v>45952</v>
      </c>
      <c r="D4287" t="inlineStr">
        <is>
          <t>ÖREBRO LÄN</t>
        </is>
      </c>
      <c r="E4287" t="inlineStr">
        <is>
          <t>LINDESBERG</t>
        </is>
      </c>
      <c r="G4287" t="n">
        <v>0.5</v>
      </c>
      <c r="H4287" t="n">
        <v>0</v>
      </c>
      <c r="I4287" t="n">
        <v>0</v>
      </c>
      <c r="J4287" t="n">
        <v>0</v>
      </c>
      <c r="K4287" t="n">
        <v>0</v>
      </c>
      <c r="L4287" t="n">
        <v>0</v>
      </c>
      <c r="M4287" t="n">
        <v>0</v>
      </c>
      <c r="N4287" t="n">
        <v>0</v>
      </c>
      <c r="O4287" t="n">
        <v>0</v>
      </c>
      <c r="P4287" t="n">
        <v>0</v>
      </c>
      <c r="Q4287" t="n">
        <v>0</v>
      </c>
      <c r="R4287" s="2" t="inlineStr"/>
    </row>
    <row r="4288" ht="15" customHeight="1">
      <c r="A4288" t="inlineStr">
        <is>
          <t>A 10797-2023</t>
        </is>
      </c>
      <c r="B4288" s="1" t="n">
        <v>44989</v>
      </c>
      <c r="C4288" s="1" t="n">
        <v>45952</v>
      </c>
      <c r="D4288" t="inlineStr">
        <is>
          <t>ÖREBRO LÄN</t>
        </is>
      </c>
      <c r="E4288" t="inlineStr">
        <is>
          <t>DEGERFORS</t>
        </is>
      </c>
      <c r="G4288" t="n">
        <v>9.5</v>
      </c>
      <c r="H4288" t="n">
        <v>0</v>
      </c>
      <c r="I4288" t="n">
        <v>0</v>
      </c>
      <c r="J4288" t="n">
        <v>0</v>
      </c>
      <c r="K4288" t="n">
        <v>0</v>
      </c>
      <c r="L4288" t="n">
        <v>0</v>
      </c>
      <c r="M4288" t="n">
        <v>0</v>
      </c>
      <c r="N4288" t="n">
        <v>0</v>
      </c>
      <c r="O4288" t="n">
        <v>0</v>
      </c>
      <c r="P4288" t="n">
        <v>0</v>
      </c>
      <c r="Q4288" t="n">
        <v>0</v>
      </c>
      <c r="R4288" s="2" t="inlineStr"/>
    </row>
    <row r="4289" ht="15" customHeight="1">
      <c r="A4289" t="inlineStr">
        <is>
          <t>A 48792-2024</t>
        </is>
      </c>
      <c r="B4289" s="1" t="n">
        <v>45593</v>
      </c>
      <c r="C4289" s="1" t="n">
        <v>45952</v>
      </c>
      <c r="D4289" t="inlineStr">
        <is>
          <t>ÖREBRO LÄN</t>
        </is>
      </c>
      <c r="E4289" t="inlineStr">
        <is>
          <t>LAXÅ</t>
        </is>
      </c>
      <c r="F4289" t="inlineStr">
        <is>
          <t>Sveaskog</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20289-2024</t>
        </is>
      </c>
      <c r="B4290" s="1" t="n">
        <v>45435.30835648148</v>
      </c>
      <c r="C4290" s="1" t="n">
        <v>45952</v>
      </c>
      <c r="D4290" t="inlineStr">
        <is>
          <t>ÖREBRO LÄN</t>
        </is>
      </c>
      <c r="E4290" t="inlineStr">
        <is>
          <t>KARLSKOGA</t>
        </is>
      </c>
      <c r="F4290" t="inlineStr">
        <is>
          <t>Sveaskog</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45210-2023</t>
        </is>
      </c>
      <c r="B4291" s="1" t="n">
        <v>45191</v>
      </c>
      <c r="C4291" s="1" t="n">
        <v>45952</v>
      </c>
      <c r="D4291" t="inlineStr">
        <is>
          <t>ÖREBRO LÄN</t>
        </is>
      </c>
      <c r="E4291" t="inlineStr">
        <is>
          <t>ASKERSUND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15094-2025</t>
        </is>
      </c>
      <c r="B4292" s="1" t="n">
        <v>45744.32981481482</v>
      </c>
      <c r="C4292" s="1" t="n">
        <v>45952</v>
      </c>
      <c r="D4292" t="inlineStr">
        <is>
          <t>ÖREBRO LÄN</t>
        </is>
      </c>
      <c r="E4292" t="inlineStr">
        <is>
          <t>LINDESBERG</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33427-2024</t>
        </is>
      </c>
      <c r="B4293" s="1" t="n">
        <v>45519.52232638889</v>
      </c>
      <c r="C4293" s="1" t="n">
        <v>45952</v>
      </c>
      <c r="D4293" t="inlineStr">
        <is>
          <t>ÖREBRO LÄN</t>
        </is>
      </c>
      <c r="E4293" t="inlineStr">
        <is>
          <t>LINDESBERG</t>
        </is>
      </c>
      <c r="F4293" t="inlineStr">
        <is>
          <t>Sveaskog</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24832-2024</t>
        </is>
      </c>
      <c r="B4294" s="1" t="n">
        <v>45461.38202546296</v>
      </c>
      <c r="C4294" s="1" t="n">
        <v>45952</v>
      </c>
      <c r="D4294" t="inlineStr">
        <is>
          <t>ÖREBRO LÄN</t>
        </is>
      </c>
      <c r="E4294" t="inlineStr">
        <is>
          <t>NORA</t>
        </is>
      </c>
      <c r="G4294" t="n">
        <v>2.7</v>
      </c>
      <c r="H4294" t="n">
        <v>0</v>
      </c>
      <c r="I4294" t="n">
        <v>0</v>
      </c>
      <c r="J4294" t="n">
        <v>0</v>
      </c>
      <c r="K4294" t="n">
        <v>0</v>
      </c>
      <c r="L4294" t="n">
        <v>0</v>
      </c>
      <c r="M4294" t="n">
        <v>0</v>
      </c>
      <c r="N4294" t="n">
        <v>0</v>
      </c>
      <c r="O4294" t="n">
        <v>0</v>
      </c>
      <c r="P4294" t="n">
        <v>0</v>
      </c>
      <c r="Q4294" t="n">
        <v>0</v>
      </c>
      <c r="R4294" s="2" t="inlineStr"/>
    </row>
    <row r="4295" ht="15" customHeight="1">
      <c r="A4295" t="inlineStr">
        <is>
          <t>A 52797-2021</t>
        </is>
      </c>
      <c r="B4295" s="1" t="n">
        <v>44467.37496527778</v>
      </c>
      <c r="C4295" s="1" t="n">
        <v>45952</v>
      </c>
      <c r="D4295" t="inlineStr">
        <is>
          <t>ÖREBRO LÄN</t>
        </is>
      </c>
      <c r="E4295" t="inlineStr">
        <is>
          <t>KARLSKOGA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18979-2025</t>
        </is>
      </c>
      <c r="B4296" s="1" t="n">
        <v>45764.55017361111</v>
      </c>
      <c r="C4296" s="1" t="n">
        <v>45952</v>
      </c>
      <c r="D4296" t="inlineStr">
        <is>
          <t>ÖREBRO LÄN</t>
        </is>
      </c>
      <c r="E4296" t="inlineStr">
        <is>
          <t>HÄLLEFORS</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11084-2023</t>
        </is>
      </c>
      <c r="B4297" s="1" t="n">
        <v>44986</v>
      </c>
      <c r="C4297" s="1" t="n">
        <v>45952</v>
      </c>
      <c r="D4297" t="inlineStr">
        <is>
          <t>ÖREBRO LÄN</t>
        </is>
      </c>
      <c r="E4297" t="inlineStr">
        <is>
          <t>DEGERFORS</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29894-2023</t>
        </is>
      </c>
      <c r="B4298" s="1" t="n">
        <v>45107</v>
      </c>
      <c r="C4298" s="1" t="n">
        <v>45952</v>
      </c>
      <c r="D4298" t="inlineStr">
        <is>
          <t>ÖREBRO LÄN</t>
        </is>
      </c>
      <c r="E4298" t="inlineStr">
        <is>
          <t>LINDESBERG</t>
        </is>
      </c>
      <c r="F4298" t="inlineStr">
        <is>
          <t>Sveaskog</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50764-2024</t>
        </is>
      </c>
      <c r="B4299" s="1" t="n">
        <v>45602.43876157407</v>
      </c>
      <c r="C4299" s="1" t="n">
        <v>45952</v>
      </c>
      <c r="D4299" t="inlineStr">
        <is>
          <t>ÖREBRO LÄN</t>
        </is>
      </c>
      <c r="E4299" t="inlineStr">
        <is>
          <t>DEGERFORS</t>
        </is>
      </c>
      <c r="F4299" t="inlineStr">
        <is>
          <t>Sveaskog</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11287-2025</t>
        </is>
      </c>
      <c r="B4300" s="1" t="n">
        <v>45726.42666666667</v>
      </c>
      <c r="C4300" s="1" t="n">
        <v>45952</v>
      </c>
      <c r="D4300" t="inlineStr">
        <is>
          <t>ÖREBRO LÄN</t>
        </is>
      </c>
      <c r="E4300" t="inlineStr">
        <is>
          <t>LEKEBERG</t>
        </is>
      </c>
      <c r="F4300" t="inlineStr">
        <is>
          <t>Sveaskog</t>
        </is>
      </c>
      <c r="G4300" t="n">
        <v>5.4</v>
      </c>
      <c r="H4300" t="n">
        <v>0</v>
      </c>
      <c r="I4300" t="n">
        <v>0</v>
      </c>
      <c r="J4300" t="n">
        <v>0</v>
      </c>
      <c r="K4300" t="n">
        <v>0</v>
      </c>
      <c r="L4300" t="n">
        <v>0</v>
      </c>
      <c r="M4300" t="n">
        <v>0</v>
      </c>
      <c r="N4300" t="n">
        <v>0</v>
      </c>
      <c r="O4300" t="n">
        <v>0</v>
      </c>
      <c r="P4300" t="n">
        <v>0</v>
      </c>
      <c r="Q4300" t="n">
        <v>0</v>
      </c>
      <c r="R4300" s="2" t="inlineStr"/>
    </row>
    <row r="4301" ht="15" customHeight="1">
      <c r="A4301" t="inlineStr">
        <is>
          <t>A 8332-2021</t>
        </is>
      </c>
      <c r="B4301" s="1" t="n">
        <v>44244</v>
      </c>
      <c r="C4301" s="1" t="n">
        <v>45952</v>
      </c>
      <c r="D4301" t="inlineStr">
        <is>
          <t>ÖREBRO LÄN</t>
        </is>
      </c>
      <c r="E4301" t="inlineStr">
        <is>
          <t>ÖREBRO</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9569-2023</t>
        </is>
      </c>
      <c r="B4302" s="1" t="n">
        <v>44982.51056712963</v>
      </c>
      <c r="C4302" s="1" t="n">
        <v>45952</v>
      </c>
      <c r="D4302" t="inlineStr">
        <is>
          <t>ÖREBRO LÄN</t>
        </is>
      </c>
      <c r="E4302" t="inlineStr">
        <is>
          <t>HALLSBERG</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33658-2024</t>
        </is>
      </c>
      <c r="B4303" s="1" t="n">
        <v>45520.46899305555</v>
      </c>
      <c r="C4303" s="1" t="n">
        <v>45952</v>
      </c>
      <c r="D4303" t="inlineStr">
        <is>
          <t>ÖREBRO LÄN</t>
        </is>
      </c>
      <c r="E4303" t="inlineStr">
        <is>
          <t>DEGERFORS</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55340-2024</t>
        </is>
      </c>
      <c r="B4304" s="1" t="n">
        <v>45621.70486111111</v>
      </c>
      <c r="C4304" s="1" t="n">
        <v>45952</v>
      </c>
      <c r="D4304" t="inlineStr">
        <is>
          <t>ÖREBRO LÄN</t>
        </is>
      </c>
      <c r="E4304" t="inlineStr">
        <is>
          <t>KUMLA</t>
        </is>
      </c>
      <c r="G4304" t="n">
        <v>0.2</v>
      </c>
      <c r="H4304" t="n">
        <v>0</v>
      </c>
      <c r="I4304" t="n">
        <v>0</v>
      </c>
      <c r="J4304" t="n">
        <v>0</v>
      </c>
      <c r="K4304" t="n">
        <v>0</v>
      </c>
      <c r="L4304" t="n">
        <v>0</v>
      </c>
      <c r="M4304" t="n">
        <v>0</v>
      </c>
      <c r="N4304" t="n">
        <v>0</v>
      </c>
      <c r="O4304" t="n">
        <v>0</v>
      </c>
      <c r="P4304" t="n">
        <v>0</v>
      </c>
      <c r="Q4304" t="n">
        <v>0</v>
      </c>
      <c r="R4304" s="2" t="inlineStr"/>
    </row>
    <row r="4305" ht="15" customHeight="1">
      <c r="A4305" t="inlineStr">
        <is>
          <t>A 15255-2025</t>
        </is>
      </c>
      <c r="B4305" s="1" t="n">
        <v>45744.65173611111</v>
      </c>
      <c r="C4305" s="1" t="n">
        <v>45952</v>
      </c>
      <c r="D4305" t="inlineStr">
        <is>
          <t>ÖREBRO LÄN</t>
        </is>
      </c>
      <c r="E4305" t="inlineStr">
        <is>
          <t>KARLSKOGA</t>
        </is>
      </c>
      <c r="F4305" t="inlineStr">
        <is>
          <t>Sveaskog</t>
        </is>
      </c>
      <c r="G4305" t="n">
        <v>1.8</v>
      </c>
      <c r="H4305" t="n">
        <v>0</v>
      </c>
      <c r="I4305" t="n">
        <v>0</v>
      </c>
      <c r="J4305" t="n">
        <v>0</v>
      </c>
      <c r="K4305" t="n">
        <v>0</v>
      </c>
      <c r="L4305" t="n">
        <v>0</v>
      </c>
      <c r="M4305" t="n">
        <v>0</v>
      </c>
      <c r="N4305" t="n">
        <v>0</v>
      </c>
      <c r="O4305" t="n">
        <v>0</v>
      </c>
      <c r="P4305" t="n">
        <v>0</v>
      </c>
      <c r="Q4305" t="n">
        <v>0</v>
      </c>
      <c r="R4305" s="2" t="inlineStr"/>
    </row>
    <row r="4306" ht="15" customHeight="1">
      <c r="A4306" t="inlineStr">
        <is>
          <t>A 1492-2022</t>
        </is>
      </c>
      <c r="B4306" s="1" t="n">
        <v>44573</v>
      </c>
      <c r="C4306" s="1" t="n">
        <v>45952</v>
      </c>
      <c r="D4306" t="inlineStr">
        <is>
          <t>ÖREBRO LÄN</t>
        </is>
      </c>
      <c r="E4306" t="inlineStr">
        <is>
          <t>ÖREBRO</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18834-2025</t>
        </is>
      </c>
      <c r="B4307" s="1" t="n">
        <v>45764.39489583333</v>
      </c>
      <c r="C4307" s="1" t="n">
        <v>45952</v>
      </c>
      <c r="D4307" t="inlineStr">
        <is>
          <t>ÖREBRO LÄN</t>
        </is>
      </c>
      <c r="E4307" t="inlineStr">
        <is>
          <t>LAXÅ</t>
        </is>
      </c>
      <c r="F4307" t="inlineStr">
        <is>
          <t>Sveaskog</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11066-2025</t>
        </is>
      </c>
      <c r="B4308" s="1" t="n">
        <v>45723.52548611111</v>
      </c>
      <c r="C4308" s="1" t="n">
        <v>45952</v>
      </c>
      <c r="D4308" t="inlineStr">
        <is>
          <t>ÖREBRO LÄN</t>
        </is>
      </c>
      <c r="E4308" t="inlineStr">
        <is>
          <t>ASKERSUND</t>
        </is>
      </c>
      <c r="F4308" t="inlineStr">
        <is>
          <t>Sveaskog</t>
        </is>
      </c>
      <c r="G4308" t="n">
        <v>5.9</v>
      </c>
      <c r="H4308" t="n">
        <v>0</v>
      </c>
      <c r="I4308" t="n">
        <v>0</v>
      </c>
      <c r="J4308" t="n">
        <v>0</v>
      </c>
      <c r="K4308" t="n">
        <v>0</v>
      </c>
      <c r="L4308" t="n">
        <v>0</v>
      </c>
      <c r="M4308" t="n">
        <v>0</v>
      </c>
      <c r="N4308" t="n">
        <v>0</v>
      </c>
      <c r="O4308" t="n">
        <v>0</v>
      </c>
      <c r="P4308" t="n">
        <v>0</v>
      </c>
      <c r="Q4308" t="n">
        <v>0</v>
      </c>
      <c r="R4308" s="2" t="inlineStr"/>
    </row>
    <row r="4309" ht="15" customHeight="1">
      <c r="A4309" t="inlineStr">
        <is>
          <t>A 29908-2024</t>
        </is>
      </c>
      <c r="B4309" s="1" t="n">
        <v>45487.82888888889</v>
      </c>
      <c r="C4309" s="1" t="n">
        <v>45952</v>
      </c>
      <c r="D4309" t="inlineStr">
        <is>
          <t>ÖREBRO LÄN</t>
        </is>
      </c>
      <c r="E4309" t="inlineStr">
        <is>
          <t>HALLSBERG</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48458-2021</t>
        </is>
      </c>
      <c r="B4310" s="1" t="n">
        <v>44452</v>
      </c>
      <c r="C4310" s="1" t="n">
        <v>45952</v>
      </c>
      <c r="D4310" t="inlineStr">
        <is>
          <t>ÖREBRO LÄN</t>
        </is>
      </c>
      <c r="E4310" t="inlineStr">
        <is>
          <t>ASKERSUND</t>
        </is>
      </c>
      <c r="G4310" t="n">
        <v>2.1</v>
      </c>
      <c r="H4310" t="n">
        <v>0</v>
      </c>
      <c r="I4310" t="n">
        <v>0</v>
      </c>
      <c r="J4310" t="n">
        <v>0</v>
      </c>
      <c r="K4310" t="n">
        <v>0</v>
      </c>
      <c r="L4310" t="n">
        <v>0</v>
      </c>
      <c r="M4310" t="n">
        <v>0</v>
      </c>
      <c r="N4310" t="n">
        <v>0</v>
      </c>
      <c r="O4310" t="n">
        <v>0</v>
      </c>
      <c r="P4310" t="n">
        <v>0</v>
      </c>
      <c r="Q4310" t="n">
        <v>0</v>
      </c>
      <c r="R4310" s="2" t="inlineStr"/>
    </row>
    <row r="4311" ht="15" customHeight="1">
      <c r="A4311" t="inlineStr">
        <is>
          <t>A 5946-2021</t>
        </is>
      </c>
      <c r="B4311" s="1" t="n">
        <v>44230</v>
      </c>
      <c r="C4311" s="1" t="n">
        <v>45952</v>
      </c>
      <c r="D4311" t="inlineStr">
        <is>
          <t>ÖREBRO LÄN</t>
        </is>
      </c>
      <c r="E4311" t="inlineStr">
        <is>
          <t>ÖREBRO</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12735-2022</t>
        </is>
      </c>
      <c r="B4312" s="1" t="n">
        <v>44641</v>
      </c>
      <c r="C4312" s="1" t="n">
        <v>45952</v>
      </c>
      <c r="D4312" t="inlineStr">
        <is>
          <t>ÖREBRO LÄN</t>
        </is>
      </c>
      <c r="E4312" t="inlineStr">
        <is>
          <t>ASKERSUND</t>
        </is>
      </c>
      <c r="F4312" t="inlineStr">
        <is>
          <t>Sveaskog</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48167-2024</t>
        </is>
      </c>
      <c r="B4313" s="1" t="n">
        <v>45589.73996527777</v>
      </c>
      <c r="C4313" s="1" t="n">
        <v>45952</v>
      </c>
      <c r="D4313" t="inlineStr">
        <is>
          <t>ÖREBRO LÄN</t>
        </is>
      </c>
      <c r="E4313" t="inlineStr">
        <is>
          <t>KARLSKOGA</t>
        </is>
      </c>
      <c r="G4313" t="n">
        <v>13.7</v>
      </c>
      <c r="H4313" t="n">
        <v>0</v>
      </c>
      <c r="I4313" t="n">
        <v>0</v>
      </c>
      <c r="J4313" t="n">
        <v>0</v>
      </c>
      <c r="K4313" t="n">
        <v>0</v>
      </c>
      <c r="L4313" t="n">
        <v>0</v>
      </c>
      <c r="M4313" t="n">
        <v>0</v>
      </c>
      <c r="N4313" t="n">
        <v>0</v>
      </c>
      <c r="O4313" t="n">
        <v>0</v>
      </c>
      <c r="P4313" t="n">
        <v>0</v>
      </c>
      <c r="Q4313" t="n">
        <v>0</v>
      </c>
      <c r="R4313" s="2" t="inlineStr"/>
    </row>
    <row r="4314" ht="15" customHeight="1">
      <c r="A4314" t="inlineStr">
        <is>
          <t>A 58615-2024</t>
        </is>
      </c>
      <c r="B4314" s="1" t="n">
        <v>45635.5587037037</v>
      </c>
      <c r="C4314" s="1" t="n">
        <v>45952</v>
      </c>
      <c r="D4314" t="inlineStr">
        <is>
          <t>ÖREBRO LÄN</t>
        </is>
      </c>
      <c r="E4314" t="inlineStr">
        <is>
          <t>ÖREBRO</t>
        </is>
      </c>
      <c r="F4314" t="inlineStr">
        <is>
          <t>Sveaskog</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58620-2024</t>
        </is>
      </c>
      <c r="B4315" s="1" t="n">
        <v>45635.56246527778</v>
      </c>
      <c r="C4315" s="1" t="n">
        <v>45952</v>
      </c>
      <c r="D4315" t="inlineStr">
        <is>
          <t>ÖREBRO LÄN</t>
        </is>
      </c>
      <c r="E4315" t="inlineStr">
        <is>
          <t>ÖREBRO</t>
        </is>
      </c>
      <c r="F4315" t="inlineStr">
        <is>
          <t>Sveaskog</t>
        </is>
      </c>
      <c r="G4315" t="n">
        <v>4.5</v>
      </c>
      <c r="H4315" t="n">
        <v>0</v>
      </c>
      <c r="I4315" t="n">
        <v>0</v>
      </c>
      <c r="J4315" t="n">
        <v>0</v>
      </c>
      <c r="K4315" t="n">
        <v>0</v>
      </c>
      <c r="L4315" t="n">
        <v>0</v>
      </c>
      <c r="M4315" t="n">
        <v>0</v>
      </c>
      <c r="N4315" t="n">
        <v>0</v>
      </c>
      <c r="O4315" t="n">
        <v>0</v>
      </c>
      <c r="P4315" t="n">
        <v>0</v>
      </c>
      <c r="Q4315" t="n">
        <v>0</v>
      </c>
      <c r="R4315" s="2" t="inlineStr"/>
    </row>
    <row r="4316" ht="15" customHeight="1">
      <c r="A4316" t="inlineStr">
        <is>
          <t>A 35862-2024</t>
        </is>
      </c>
      <c r="B4316" s="1" t="n">
        <v>45533.33909722222</v>
      </c>
      <c r="C4316" s="1" t="n">
        <v>45952</v>
      </c>
      <c r="D4316" t="inlineStr">
        <is>
          <t>ÖREBRO LÄN</t>
        </is>
      </c>
      <c r="E4316" t="inlineStr">
        <is>
          <t>HÄLLEFORS</t>
        </is>
      </c>
      <c r="F4316" t="inlineStr">
        <is>
          <t>Bergvik skog väst AB</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20344-2023</t>
        </is>
      </c>
      <c r="B4317" s="1" t="n">
        <v>45056</v>
      </c>
      <c r="C4317" s="1" t="n">
        <v>45952</v>
      </c>
      <c r="D4317" t="inlineStr">
        <is>
          <t>ÖREBRO LÄN</t>
        </is>
      </c>
      <c r="E4317" t="inlineStr">
        <is>
          <t>LEKEBERG</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1014-2024</t>
        </is>
      </c>
      <c r="B4318" s="1" t="n">
        <v>45301</v>
      </c>
      <c r="C4318" s="1" t="n">
        <v>45952</v>
      </c>
      <c r="D4318" t="inlineStr">
        <is>
          <t>ÖREBRO LÄN</t>
        </is>
      </c>
      <c r="E4318" t="inlineStr">
        <is>
          <t>ÖREBRO</t>
        </is>
      </c>
      <c r="G4318" t="n">
        <v>1.4</v>
      </c>
      <c r="H4318" t="n">
        <v>0</v>
      </c>
      <c r="I4318" t="n">
        <v>0</v>
      </c>
      <c r="J4318" t="n">
        <v>0</v>
      </c>
      <c r="K4318" t="n">
        <v>0</v>
      </c>
      <c r="L4318" t="n">
        <v>0</v>
      </c>
      <c r="M4318" t="n">
        <v>0</v>
      </c>
      <c r="N4318" t="n">
        <v>0</v>
      </c>
      <c r="O4318" t="n">
        <v>0</v>
      </c>
      <c r="P4318" t="n">
        <v>0</v>
      </c>
      <c r="Q4318" t="n">
        <v>0</v>
      </c>
      <c r="R4318" s="2" t="inlineStr"/>
    </row>
    <row r="4319" ht="15" customHeight="1">
      <c r="A4319" t="inlineStr">
        <is>
          <t>A 62421-2022</t>
        </is>
      </c>
      <c r="B4319" s="1" t="n">
        <v>44916</v>
      </c>
      <c r="C4319" s="1" t="n">
        <v>45952</v>
      </c>
      <c r="D4319" t="inlineStr">
        <is>
          <t>ÖREBRO LÄN</t>
        </is>
      </c>
      <c r="E4319" t="inlineStr">
        <is>
          <t>LJUSNARSBERG</t>
        </is>
      </c>
      <c r="F4319" t="inlineStr">
        <is>
          <t>Bergvik skog väst AB</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30472-2022</t>
        </is>
      </c>
      <c r="B4320" s="1" t="n">
        <v>44761.70467592592</v>
      </c>
      <c r="C4320" s="1" t="n">
        <v>45952</v>
      </c>
      <c r="D4320" t="inlineStr">
        <is>
          <t>ÖREBRO LÄN</t>
        </is>
      </c>
      <c r="E4320" t="inlineStr">
        <is>
          <t>ÖREBRO</t>
        </is>
      </c>
      <c r="F4320" t="inlineStr">
        <is>
          <t>Övriga Aktiebolag</t>
        </is>
      </c>
      <c r="G4320" t="n">
        <v>5.6</v>
      </c>
      <c r="H4320" t="n">
        <v>0</v>
      </c>
      <c r="I4320" t="n">
        <v>0</v>
      </c>
      <c r="J4320" t="n">
        <v>0</v>
      </c>
      <c r="K4320" t="n">
        <v>0</v>
      </c>
      <c r="L4320" t="n">
        <v>0</v>
      </c>
      <c r="M4320" t="n">
        <v>0</v>
      </c>
      <c r="N4320" t="n">
        <v>0</v>
      </c>
      <c r="O4320" t="n">
        <v>0</v>
      </c>
      <c r="P4320" t="n">
        <v>0</v>
      </c>
      <c r="Q4320" t="n">
        <v>0</v>
      </c>
      <c r="R4320" s="2" t="inlineStr"/>
    </row>
    <row r="4321" ht="15" customHeight="1">
      <c r="A4321" t="inlineStr">
        <is>
          <t>A 64528-2020</t>
        </is>
      </c>
      <c r="B4321" s="1" t="n">
        <v>44169</v>
      </c>
      <c r="C4321" s="1" t="n">
        <v>45952</v>
      </c>
      <c r="D4321" t="inlineStr">
        <is>
          <t>ÖREBRO LÄN</t>
        </is>
      </c>
      <c r="E4321" t="inlineStr">
        <is>
          <t>LINDESBERG</t>
        </is>
      </c>
      <c r="F4321" t="inlineStr">
        <is>
          <t>Sveaskog</t>
        </is>
      </c>
      <c r="G4321" t="n">
        <v>7.1</v>
      </c>
      <c r="H4321" t="n">
        <v>0</v>
      </c>
      <c r="I4321" t="n">
        <v>0</v>
      </c>
      <c r="J4321" t="n">
        <v>0</v>
      </c>
      <c r="K4321" t="n">
        <v>0</v>
      </c>
      <c r="L4321" t="n">
        <v>0</v>
      </c>
      <c r="M4321" t="n">
        <v>0</v>
      </c>
      <c r="N4321" t="n">
        <v>0</v>
      </c>
      <c r="O4321" t="n">
        <v>0</v>
      </c>
      <c r="P4321" t="n">
        <v>0</v>
      </c>
      <c r="Q4321" t="n">
        <v>0</v>
      </c>
      <c r="R4321" s="2" t="inlineStr"/>
    </row>
    <row r="4322" ht="15" customHeight="1">
      <c r="A4322" t="inlineStr">
        <is>
          <t>A 34056-2023</t>
        </is>
      </c>
      <c r="B4322" s="1" t="n">
        <v>45135</v>
      </c>
      <c r="C4322" s="1" t="n">
        <v>45952</v>
      </c>
      <c r="D4322" t="inlineStr">
        <is>
          <t>ÖREBRO LÄN</t>
        </is>
      </c>
      <c r="E4322" t="inlineStr">
        <is>
          <t>ÖREBRO</t>
        </is>
      </c>
      <c r="F4322" t="inlineStr">
        <is>
          <t>Övriga Aktiebolag</t>
        </is>
      </c>
      <c r="G4322" t="n">
        <v>4.1</v>
      </c>
      <c r="H4322" t="n">
        <v>0</v>
      </c>
      <c r="I4322" t="n">
        <v>0</v>
      </c>
      <c r="J4322" t="n">
        <v>0</v>
      </c>
      <c r="K4322" t="n">
        <v>0</v>
      </c>
      <c r="L4322" t="n">
        <v>0</v>
      </c>
      <c r="M4322" t="n">
        <v>0</v>
      </c>
      <c r="N4322" t="n">
        <v>0</v>
      </c>
      <c r="O4322" t="n">
        <v>0</v>
      </c>
      <c r="P4322" t="n">
        <v>0</v>
      </c>
      <c r="Q4322" t="n">
        <v>0</v>
      </c>
      <c r="R4322" s="2" t="inlineStr"/>
    </row>
    <row r="4323" ht="15" customHeight="1">
      <c r="A4323" t="inlineStr">
        <is>
          <t>A 40306-2022</t>
        </is>
      </c>
      <c r="B4323" s="1" t="n">
        <v>44822</v>
      </c>
      <c r="C4323" s="1" t="n">
        <v>45952</v>
      </c>
      <c r="D4323" t="inlineStr">
        <is>
          <t>ÖREBRO LÄN</t>
        </is>
      </c>
      <c r="E4323" t="inlineStr">
        <is>
          <t>LINDESBERG</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63668-2023</t>
        </is>
      </c>
      <c r="B4324" s="1" t="n">
        <v>45274</v>
      </c>
      <c r="C4324" s="1" t="n">
        <v>45952</v>
      </c>
      <c r="D4324" t="inlineStr">
        <is>
          <t>ÖREBRO LÄN</t>
        </is>
      </c>
      <c r="E4324" t="inlineStr">
        <is>
          <t>LINDESBERG</t>
        </is>
      </c>
      <c r="G4324" t="n">
        <v>0.7</v>
      </c>
      <c r="H4324" t="n">
        <v>0</v>
      </c>
      <c r="I4324" t="n">
        <v>0</v>
      </c>
      <c r="J4324" t="n">
        <v>0</v>
      </c>
      <c r="K4324" t="n">
        <v>0</v>
      </c>
      <c r="L4324" t="n">
        <v>0</v>
      </c>
      <c r="M4324" t="n">
        <v>0</v>
      </c>
      <c r="N4324" t="n">
        <v>0</v>
      </c>
      <c r="O4324" t="n">
        <v>0</v>
      </c>
      <c r="P4324" t="n">
        <v>0</v>
      </c>
      <c r="Q4324" t="n">
        <v>0</v>
      </c>
      <c r="R4324" s="2" t="inlineStr"/>
    </row>
    <row r="4325" ht="15" customHeight="1">
      <c r="A4325" t="inlineStr">
        <is>
          <t>A 54843-2023</t>
        </is>
      </c>
      <c r="B4325" s="1" t="n">
        <v>45236.58434027778</v>
      </c>
      <c r="C4325" s="1" t="n">
        <v>45952</v>
      </c>
      <c r="D4325" t="inlineStr">
        <is>
          <t>ÖREBRO LÄN</t>
        </is>
      </c>
      <c r="E4325" t="inlineStr">
        <is>
          <t>HÄLLEFORS</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61046-2023</t>
        </is>
      </c>
      <c r="B4326" s="1" t="n">
        <v>45261.58835648148</v>
      </c>
      <c r="C4326" s="1" t="n">
        <v>45952</v>
      </c>
      <c r="D4326" t="inlineStr">
        <is>
          <t>ÖREBRO LÄN</t>
        </is>
      </c>
      <c r="E4326" t="inlineStr">
        <is>
          <t>LAXÅ</t>
        </is>
      </c>
      <c r="F4326" t="inlineStr">
        <is>
          <t>Sveaskog</t>
        </is>
      </c>
      <c r="G4326" t="n">
        <v>1.1</v>
      </c>
      <c r="H4326" t="n">
        <v>0</v>
      </c>
      <c r="I4326" t="n">
        <v>0</v>
      </c>
      <c r="J4326" t="n">
        <v>0</v>
      </c>
      <c r="K4326" t="n">
        <v>0</v>
      </c>
      <c r="L4326" t="n">
        <v>0</v>
      </c>
      <c r="M4326" t="n">
        <v>0</v>
      </c>
      <c r="N4326" t="n">
        <v>0</v>
      </c>
      <c r="O4326" t="n">
        <v>0</v>
      </c>
      <c r="P4326" t="n">
        <v>0</v>
      </c>
      <c r="Q4326" t="n">
        <v>0</v>
      </c>
      <c r="R4326" s="2" t="inlineStr"/>
    </row>
    <row r="4327" ht="15" customHeight="1">
      <c r="A4327" t="inlineStr">
        <is>
          <t>A 43612-2022</t>
        </is>
      </c>
      <c r="B4327" s="1" t="n">
        <v>44837</v>
      </c>
      <c r="C4327" s="1" t="n">
        <v>45952</v>
      </c>
      <c r="D4327" t="inlineStr">
        <is>
          <t>ÖREBRO LÄN</t>
        </is>
      </c>
      <c r="E4327" t="inlineStr">
        <is>
          <t>ÖREBRO</t>
        </is>
      </c>
      <c r="G4327" t="n">
        <v>0.6</v>
      </c>
      <c r="H4327" t="n">
        <v>0</v>
      </c>
      <c r="I4327" t="n">
        <v>0</v>
      </c>
      <c r="J4327" t="n">
        <v>0</v>
      </c>
      <c r="K4327" t="n">
        <v>0</v>
      </c>
      <c r="L4327" t="n">
        <v>0</v>
      </c>
      <c r="M4327" t="n">
        <v>0</v>
      </c>
      <c r="N4327" t="n">
        <v>0</v>
      </c>
      <c r="O4327" t="n">
        <v>0</v>
      </c>
      <c r="P4327" t="n">
        <v>0</v>
      </c>
      <c r="Q4327" t="n">
        <v>0</v>
      </c>
      <c r="R4327" s="2" t="inlineStr"/>
    </row>
    <row r="4328" ht="15" customHeight="1">
      <c r="A4328" t="inlineStr">
        <is>
          <t>A 51373-2023</t>
        </is>
      </c>
      <c r="B4328" s="1" t="n">
        <v>45213</v>
      </c>
      <c r="C4328" s="1" t="n">
        <v>45952</v>
      </c>
      <c r="D4328" t="inlineStr">
        <is>
          <t>ÖREBRO LÄN</t>
        </is>
      </c>
      <c r="E4328" t="inlineStr">
        <is>
          <t>ÖREBRO</t>
        </is>
      </c>
      <c r="G4328" t="n">
        <v>5.9</v>
      </c>
      <c r="H4328" t="n">
        <v>0</v>
      </c>
      <c r="I4328" t="n">
        <v>0</v>
      </c>
      <c r="J4328" t="n">
        <v>0</v>
      </c>
      <c r="K4328" t="n">
        <v>0</v>
      </c>
      <c r="L4328" t="n">
        <v>0</v>
      </c>
      <c r="M4328" t="n">
        <v>0</v>
      </c>
      <c r="N4328" t="n">
        <v>0</v>
      </c>
      <c r="O4328" t="n">
        <v>0</v>
      </c>
      <c r="P4328" t="n">
        <v>0</v>
      </c>
      <c r="Q4328" t="n">
        <v>0</v>
      </c>
      <c r="R4328" s="2" t="inlineStr"/>
    </row>
    <row r="4329" ht="15" customHeight="1">
      <c r="A4329" t="inlineStr">
        <is>
          <t>A 54832-2024</t>
        </is>
      </c>
      <c r="B4329" s="1" t="n">
        <v>45618.55387731481</v>
      </c>
      <c r="C4329" s="1" t="n">
        <v>45952</v>
      </c>
      <c r="D4329" t="inlineStr">
        <is>
          <t>ÖREBRO LÄN</t>
        </is>
      </c>
      <c r="E4329" t="inlineStr">
        <is>
          <t>LAXÅ</t>
        </is>
      </c>
      <c r="F4329" t="inlineStr">
        <is>
          <t>Sveaskog</t>
        </is>
      </c>
      <c r="G4329" t="n">
        <v>6.4</v>
      </c>
      <c r="H4329" t="n">
        <v>0</v>
      </c>
      <c r="I4329" t="n">
        <v>0</v>
      </c>
      <c r="J4329" t="n">
        <v>0</v>
      </c>
      <c r="K4329" t="n">
        <v>0</v>
      </c>
      <c r="L4329" t="n">
        <v>0</v>
      </c>
      <c r="M4329" t="n">
        <v>0</v>
      </c>
      <c r="N4329" t="n">
        <v>0</v>
      </c>
      <c r="O4329" t="n">
        <v>0</v>
      </c>
      <c r="P4329" t="n">
        <v>0</v>
      </c>
      <c r="Q4329" t="n">
        <v>0</v>
      </c>
      <c r="R4329" s="2" t="inlineStr"/>
    </row>
    <row r="4330" ht="15" customHeight="1">
      <c r="A4330" t="inlineStr">
        <is>
          <t>A 14452-2025</t>
        </is>
      </c>
      <c r="B4330" s="1" t="n">
        <v>45741.56143518518</v>
      </c>
      <c r="C4330" s="1" t="n">
        <v>45952</v>
      </c>
      <c r="D4330" t="inlineStr">
        <is>
          <t>ÖREBRO LÄN</t>
        </is>
      </c>
      <c r="E4330" t="inlineStr">
        <is>
          <t>DEGERFORS</t>
        </is>
      </c>
      <c r="F4330" t="inlineStr">
        <is>
          <t>Sveaskog</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7499-2024</t>
        </is>
      </c>
      <c r="B4331" s="1" t="n">
        <v>45347.84356481482</v>
      </c>
      <c r="C4331" s="1" t="n">
        <v>45952</v>
      </c>
      <c r="D4331" t="inlineStr">
        <is>
          <t>ÖREBRO LÄN</t>
        </is>
      </c>
      <c r="E4331" t="inlineStr">
        <is>
          <t>LJUSNARSBERG</t>
        </is>
      </c>
      <c r="G4331" t="n">
        <v>3.4</v>
      </c>
      <c r="H4331" t="n">
        <v>0</v>
      </c>
      <c r="I4331" t="n">
        <v>0</v>
      </c>
      <c r="J4331" t="n">
        <v>0</v>
      </c>
      <c r="K4331" t="n">
        <v>0</v>
      </c>
      <c r="L4331" t="n">
        <v>0</v>
      </c>
      <c r="M4331" t="n">
        <v>0</v>
      </c>
      <c r="N4331" t="n">
        <v>0</v>
      </c>
      <c r="O4331" t="n">
        <v>0</v>
      </c>
      <c r="P4331" t="n">
        <v>0</v>
      </c>
      <c r="Q4331" t="n">
        <v>0</v>
      </c>
      <c r="R4331" s="2" t="inlineStr"/>
    </row>
    <row r="4332" ht="15" customHeight="1">
      <c r="A4332" t="inlineStr">
        <is>
          <t>A 4539-2025</t>
        </is>
      </c>
      <c r="B4332" s="1" t="n">
        <v>45687</v>
      </c>
      <c r="C4332" s="1" t="n">
        <v>45952</v>
      </c>
      <c r="D4332" t="inlineStr">
        <is>
          <t>ÖREBRO LÄN</t>
        </is>
      </c>
      <c r="E4332" t="inlineStr">
        <is>
          <t>LINDESBERG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35843-2022</t>
        </is>
      </c>
      <c r="B4333" s="1" t="n">
        <v>44802</v>
      </c>
      <c r="C4333" s="1" t="n">
        <v>45952</v>
      </c>
      <c r="D4333" t="inlineStr">
        <is>
          <t>ÖREBRO LÄN</t>
        </is>
      </c>
      <c r="E4333" t="inlineStr">
        <is>
          <t>ÖREBRO</t>
        </is>
      </c>
      <c r="G4333" t="n">
        <v>2.4</v>
      </c>
      <c r="H4333" t="n">
        <v>0</v>
      </c>
      <c r="I4333" t="n">
        <v>0</v>
      </c>
      <c r="J4333" t="n">
        <v>0</v>
      </c>
      <c r="K4333" t="n">
        <v>0</v>
      </c>
      <c r="L4333" t="n">
        <v>0</v>
      </c>
      <c r="M4333" t="n">
        <v>0</v>
      </c>
      <c r="N4333" t="n">
        <v>0</v>
      </c>
      <c r="O4333" t="n">
        <v>0</v>
      </c>
      <c r="P4333" t="n">
        <v>0</v>
      </c>
      <c r="Q4333" t="n">
        <v>0</v>
      </c>
      <c r="R4333" s="2" t="inlineStr"/>
    </row>
    <row r="4334" ht="15" customHeight="1">
      <c r="A4334" t="inlineStr">
        <is>
          <t>A 39875-2024</t>
        </is>
      </c>
      <c r="B4334" s="1" t="n">
        <v>45553</v>
      </c>
      <c r="C4334" s="1" t="n">
        <v>45952</v>
      </c>
      <c r="D4334" t="inlineStr">
        <is>
          <t>ÖREBRO LÄN</t>
        </is>
      </c>
      <c r="E4334" t="inlineStr">
        <is>
          <t>LEKEBERG</t>
        </is>
      </c>
      <c r="F4334" t="inlineStr">
        <is>
          <t>Sveaskog</t>
        </is>
      </c>
      <c r="G4334" t="n">
        <v>4.9</v>
      </c>
      <c r="H4334" t="n">
        <v>0</v>
      </c>
      <c r="I4334" t="n">
        <v>0</v>
      </c>
      <c r="J4334" t="n">
        <v>0</v>
      </c>
      <c r="K4334" t="n">
        <v>0</v>
      </c>
      <c r="L4334" t="n">
        <v>0</v>
      </c>
      <c r="M4334" t="n">
        <v>0</v>
      </c>
      <c r="N4334" t="n">
        <v>0</v>
      </c>
      <c r="O4334" t="n">
        <v>0</v>
      </c>
      <c r="P4334" t="n">
        <v>0</v>
      </c>
      <c r="Q4334" t="n">
        <v>0</v>
      </c>
      <c r="R4334" s="2" t="inlineStr"/>
    </row>
    <row r="4335" ht="15" customHeight="1">
      <c r="A4335" t="inlineStr">
        <is>
          <t>A 39878-2024</t>
        </is>
      </c>
      <c r="B4335" s="1" t="n">
        <v>45553</v>
      </c>
      <c r="C4335" s="1" t="n">
        <v>45952</v>
      </c>
      <c r="D4335" t="inlineStr">
        <is>
          <t>ÖREBRO LÄN</t>
        </is>
      </c>
      <c r="E4335" t="inlineStr">
        <is>
          <t>LEKEBERG</t>
        </is>
      </c>
      <c r="F4335" t="inlineStr">
        <is>
          <t>Sveaskog</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3619-2021</t>
        </is>
      </c>
      <c r="B4336" s="1" t="n">
        <v>44221</v>
      </c>
      <c r="C4336" s="1" t="n">
        <v>45952</v>
      </c>
      <c r="D4336" t="inlineStr">
        <is>
          <t>ÖREBRO LÄN</t>
        </is>
      </c>
      <c r="E4336" t="inlineStr">
        <is>
          <t>HÄLLEFORS</t>
        </is>
      </c>
      <c r="F4336" t="inlineStr">
        <is>
          <t>Kyrkan</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13599-2025</t>
        </is>
      </c>
      <c r="B4337" s="1" t="n">
        <v>45736.60597222222</v>
      </c>
      <c r="C4337" s="1" t="n">
        <v>45952</v>
      </c>
      <c r="D4337" t="inlineStr">
        <is>
          <t>ÖREBRO LÄN</t>
        </is>
      </c>
      <c r="E4337" t="inlineStr">
        <is>
          <t>ÖREBRO</t>
        </is>
      </c>
      <c r="G4337" t="n">
        <v>1.9</v>
      </c>
      <c r="H4337" t="n">
        <v>0</v>
      </c>
      <c r="I4337" t="n">
        <v>0</v>
      </c>
      <c r="J4337" t="n">
        <v>0</v>
      </c>
      <c r="K4337" t="n">
        <v>0</v>
      </c>
      <c r="L4337" t="n">
        <v>0</v>
      </c>
      <c r="M4337" t="n">
        <v>0</v>
      </c>
      <c r="N4337" t="n">
        <v>0</v>
      </c>
      <c r="O4337" t="n">
        <v>0</v>
      </c>
      <c r="P4337" t="n">
        <v>0</v>
      </c>
      <c r="Q4337" t="n">
        <v>0</v>
      </c>
      <c r="R4337" s="2" t="inlineStr"/>
    </row>
    <row r="4338" ht="15" customHeight="1">
      <c r="A4338" t="inlineStr">
        <is>
          <t>A 37542-2024</t>
        </is>
      </c>
      <c r="B4338" s="1" t="n">
        <v>45541.42298611111</v>
      </c>
      <c r="C4338" s="1" t="n">
        <v>45952</v>
      </c>
      <c r="D4338" t="inlineStr">
        <is>
          <t>ÖREBRO LÄN</t>
        </is>
      </c>
      <c r="E4338" t="inlineStr">
        <is>
          <t>HÄLLEFORS</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70200-2021</t>
        </is>
      </c>
      <c r="B4339" s="1" t="n">
        <v>44534.82171296296</v>
      </c>
      <c r="C4339" s="1" t="n">
        <v>45952</v>
      </c>
      <c r="D4339" t="inlineStr">
        <is>
          <t>ÖREBRO LÄN</t>
        </is>
      </c>
      <c r="E4339" t="inlineStr">
        <is>
          <t>NORA</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20146-2024</t>
        </is>
      </c>
      <c r="B4340" s="1" t="n">
        <v>45434.57641203704</v>
      </c>
      <c r="C4340" s="1" t="n">
        <v>45952</v>
      </c>
      <c r="D4340" t="inlineStr">
        <is>
          <t>ÖREBRO LÄN</t>
        </is>
      </c>
      <c r="E4340" t="inlineStr">
        <is>
          <t>ÖREBRO</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22389-2023</t>
        </is>
      </c>
      <c r="B4341" s="1" t="n">
        <v>45070</v>
      </c>
      <c r="C4341" s="1" t="n">
        <v>45952</v>
      </c>
      <c r="D4341" t="inlineStr">
        <is>
          <t>ÖREBRO LÄN</t>
        </is>
      </c>
      <c r="E4341" t="inlineStr">
        <is>
          <t>NORA</t>
        </is>
      </c>
      <c r="G4341" t="n">
        <v>2.3</v>
      </c>
      <c r="H4341" t="n">
        <v>0</v>
      </c>
      <c r="I4341" t="n">
        <v>0</v>
      </c>
      <c r="J4341" t="n">
        <v>0</v>
      </c>
      <c r="K4341" t="n">
        <v>0</v>
      </c>
      <c r="L4341" t="n">
        <v>0</v>
      </c>
      <c r="M4341" t="n">
        <v>0</v>
      </c>
      <c r="N4341" t="n">
        <v>0</v>
      </c>
      <c r="O4341" t="n">
        <v>0</v>
      </c>
      <c r="P4341" t="n">
        <v>0</v>
      </c>
      <c r="Q4341" t="n">
        <v>0</v>
      </c>
      <c r="R4341" s="2" t="inlineStr"/>
    </row>
    <row r="4342" ht="15" customHeight="1">
      <c r="A4342" t="inlineStr">
        <is>
          <t>A 5583-2023</t>
        </is>
      </c>
      <c r="B4342" s="1" t="n">
        <v>44960.50733796296</v>
      </c>
      <c r="C4342" s="1" t="n">
        <v>45952</v>
      </c>
      <c r="D4342" t="inlineStr">
        <is>
          <t>ÖREBRO LÄN</t>
        </is>
      </c>
      <c r="E4342" t="inlineStr">
        <is>
          <t>HÄLLEFORS</t>
        </is>
      </c>
      <c r="F4342" t="inlineStr">
        <is>
          <t>Bergvik skog väst AB</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44675-2021</t>
        </is>
      </c>
      <c r="B4343" s="1" t="n">
        <v>44438</v>
      </c>
      <c r="C4343" s="1" t="n">
        <v>45952</v>
      </c>
      <c r="D4343" t="inlineStr">
        <is>
          <t>ÖREBRO LÄN</t>
        </is>
      </c>
      <c r="E4343" t="inlineStr">
        <is>
          <t>LINDESBERG</t>
        </is>
      </c>
      <c r="F4343" t="inlineStr">
        <is>
          <t>Sveaskog</t>
        </is>
      </c>
      <c r="G4343" t="n">
        <v>2.1</v>
      </c>
      <c r="H4343" t="n">
        <v>0</v>
      </c>
      <c r="I4343" t="n">
        <v>0</v>
      </c>
      <c r="J4343" t="n">
        <v>0</v>
      </c>
      <c r="K4343" t="n">
        <v>0</v>
      </c>
      <c r="L4343" t="n">
        <v>0</v>
      </c>
      <c r="M4343" t="n">
        <v>0</v>
      </c>
      <c r="N4343" t="n">
        <v>0</v>
      </c>
      <c r="O4343" t="n">
        <v>0</v>
      </c>
      <c r="P4343" t="n">
        <v>0</v>
      </c>
      <c r="Q4343" t="n">
        <v>0</v>
      </c>
      <c r="R4343" s="2" t="inlineStr"/>
    </row>
    <row r="4344" ht="15" customHeight="1">
      <c r="A4344" t="inlineStr">
        <is>
          <t>A 12065-2024</t>
        </is>
      </c>
      <c r="B4344" s="1" t="n">
        <v>45377.49775462963</v>
      </c>
      <c r="C4344" s="1" t="n">
        <v>45952</v>
      </c>
      <c r="D4344" t="inlineStr">
        <is>
          <t>ÖREBRO LÄN</t>
        </is>
      </c>
      <c r="E4344" t="inlineStr">
        <is>
          <t>LAXÅ</t>
        </is>
      </c>
      <c r="F4344" t="inlineStr">
        <is>
          <t>Sveaskog</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12426-2023</t>
        </is>
      </c>
      <c r="B4345" s="1" t="n">
        <v>44999.53523148148</v>
      </c>
      <c r="C4345" s="1" t="n">
        <v>45952</v>
      </c>
      <c r="D4345" t="inlineStr">
        <is>
          <t>ÖREBRO LÄN</t>
        </is>
      </c>
      <c r="E4345" t="inlineStr">
        <is>
          <t>ASKERSUND</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45861-2023</t>
        </is>
      </c>
      <c r="B4346" s="1" t="n">
        <v>45195</v>
      </c>
      <c r="C4346" s="1" t="n">
        <v>45952</v>
      </c>
      <c r="D4346" t="inlineStr">
        <is>
          <t>ÖREBRO LÄN</t>
        </is>
      </c>
      <c r="E4346" t="inlineStr">
        <is>
          <t>DEGERFORS</t>
        </is>
      </c>
      <c r="F4346" t="inlineStr">
        <is>
          <t>Sveaskog</t>
        </is>
      </c>
      <c r="G4346" t="n">
        <v>0.7</v>
      </c>
      <c r="H4346" t="n">
        <v>0</v>
      </c>
      <c r="I4346" t="n">
        <v>0</v>
      </c>
      <c r="J4346" t="n">
        <v>0</v>
      </c>
      <c r="K4346" t="n">
        <v>0</v>
      </c>
      <c r="L4346" t="n">
        <v>0</v>
      </c>
      <c r="M4346" t="n">
        <v>0</v>
      </c>
      <c r="N4346" t="n">
        <v>0</v>
      </c>
      <c r="O4346" t="n">
        <v>0</v>
      </c>
      <c r="P4346" t="n">
        <v>0</v>
      </c>
      <c r="Q4346" t="n">
        <v>0</v>
      </c>
      <c r="R4346" s="2" t="inlineStr"/>
    </row>
    <row r="4347" ht="15" customHeight="1">
      <c r="A4347" t="inlineStr">
        <is>
          <t>A 42324-2023</t>
        </is>
      </c>
      <c r="B4347" s="1" t="n">
        <v>45180</v>
      </c>
      <c r="C4347" s="1" t="n">
        <v>45952</v>
      </c>
      <c r="D4347" t="inlineStr">
        <is>
          <t>ÖREBRO LÄN</t>
        </is>
      </c>
      <c r="E4347" t="inlineStr">
        <is>
          <t>LAXÅ</t>
        </is>
      </c>
      <c r="F4347" t="inlineStr">
        <is>
          <t>Sveaskog</t>
        </is>
      </c>
      <c r="G4347" t="n">
        <v>2.2</v>
      </c>
      <c r="H4347" t="n">
        <v>0</v>
      </c>
      <c r="I4347" t="n">
        <v>0</v>
      </c>
      <c r="J4347" t="n">
        <v>0</v>
      </c>
      <c r="K4347" t="n">
        <v>0</v>
      </c>
      <c r="L4347" t="n">
        <v>0</v>
      </c>
      <c r="M4347" t="n">
        <v>0</v>
      </c>
      <c r="N4347" t="n">
        <v>0</v>
      </c>
      <c r="O4347" t="n">
        <v>0</v>
      </c>
      <c r="P4347" t="n">
        <v>0</v>
      </c>
      <c r="Q4347" t="n">
        <v>0</v>
      </c>
      <c r="R4347" s="2" t="inlineStr"/>
    </row>
    <row r="4348" ht="15" customHeight="1">
      <c r="A4348" t="inlineStr">
        <is>
          <t>A 10496-2024</t>
        </is>
      </c>
      <c r="B4348" s="1" t="n">
        <v>45366.46909722222</v>
      </c>
      <c r="C4348" s="1" t="n">
        <v>45952</v>
      </c>
      <c r="D4348" t="inlineStr">
        <is>
          <t>ÖREBRO LÄN</t>
        </is>
      </c>
      <c r="E4348" t="inlineStr">
        <is>
          <t>LAXÅ</t>
        </is>
      </c>
      <c r="F4348" t="inlineStr">
        <is>
          <t>Sveaskog</t>
        </is>
      </c>
      <c r="G4348" t="n">
        <v>2.3</v>
      </c>
      <c r="H4348" t="n">
        <v>0</v>
      </c>
      <c r="I4348" t="n">
        <v>0</v>
      </c>
      <c r="J4348" t="n">
        <v>0</v>
      </c>
      <c r="K4348" t="n">
        <v>0</v>
      </c>
      <c r="L4348" t="n">
        <v>0</v>
      </c>
      <c r="M4348" t="n">
        <v>0</v>
      </c>
      <c r="N4348" t="n">
        <v>0</v>
      </c>
      <c r="O4348" t="n">
        <v>0</v>
      </c>
      <c r="P4348" t="n">
        <v>0</v>
      </c>
      <c r="Q4348" t="n">
        <v>0</v>
      </c>
      <c r="R4348" s="2" t="inlineStr"/>
    </row>
    <row r="4349" ht="15" customHeight="1">
      <c r="A4349" t="inlineStr">
        <is>
          <t>A 44091-2024</t>
        </is>
      </c>
      <c r="B4349" s="1" t="n">
        <v>45572.6216087963</v>
      </c>
      <c r="C4349" s="1" t="n">
        <v>45952</v>
      </c>
      <c r="D4349" t="inlineStr">
        <is>
          <t>ÖREBRO LÄN</t>
        </is>
      </c>
      <c r="E4349" t="inlineStr">
        <is>
          <t>HÄLLEFORS</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46642-2024</t>
        </is>
      </c>
      <c r="B4350" s="1" t="n">
        <v>45583.34902777777</v>
      </c>
      <c r="C4350" s="1" t="n">
        <v>45952</v>
      </c>
      <c r="D4350" t="inlineStr">
        <is>
          <t>ÖREBRO LÄN</t>
        </is>
      </c>
      <c r="E4350" t="inlineStr">
        <is>
          <t>HÄLLEFORS</t>
        </is>
      </c>
      <c r="F4350" t="inlineStr">
        <is>
          <t>Bergvik skog väst AB</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10937-2024</t>
        </is>
      </c>
      <c r="B4351" s="1" t="n">
        <v>45370.44461805555</v>
      </c>
      <c r="C4351" s="1" t="n">
        <v>45952</v>
      </c>
      <c r="D4351" t="inlineStr">
        <is>
          <t>ÖREBRO LÄN</t>
        </is>
      </c>
      <c r="E4351" t="inlineStr">
        <is>
          <t>ÖREBRO</t>
        </is>
      </c>
      <c r="G4351" t="n">
        <v>4.3</v>
      </c>
      <c r="H4351" t="n">
        <v>0</v>
      </c>
      <c r="I4351" t="n">
        <v>0</v>
      </c>
      <c r="J4351" t="n">
        <v>0</v>
      </c>
      <c r="K4351" t="n">
        <v>0</v>
      </c>
      <c r="L4351" t="n">
        <v>0</v>
      </c>
      <c r="M4351" t="n">
        <v>0</v>
      </c>
      <c r="N4351" t="n">
        <v>0</v>
      </c>
      <c r="O4351" t="n">
        <v>0</v>
      </c>
      <c r="P4351" t="n">
        <v>0</v>
      </c>
      <c r="Q4351" t="n">
        <v>0</v>
      </c>
      <c r="R4351" s="2" t="inlineStr"/>
    </row>
    <row r="4352" ht="15" customHeight="1">
      <c r="A4352" t="inlineStr">
        <is>
          <t>A 20086-2024</t>
        </is>
      </c>
      <c r="B4352" s="1" t="n">
        <v>45434</v>
      </c>
      <c r="C4352" s="1" t="n">
        <v>45952</v>
      </c>
      <c r="D4352" t="inlineStr">
        <is>
          <t>ÖREBRO LÄN</t>
        </is>
      </c>
      <c r="E4352" t="inlineStr">
        <is>
          <t>KARLSKOGA</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20115-2024</t>
        </is>
      </c>
      <c r="B4353" s="1" t="n">
        <v>45434</v>
      </c>
      <c r="C4353" s="1" t="n">
        <v>45952</v>
      </c>
      <c r="D4353" t="inlineStr">
        <is>
          <t>ÖREBRO LÄN</t>
        </is>
      </c>
      <c r="E4353" t="inlineStr">
        <is>
          <t>ÖREBRO</t>
        </is>
      </c>
      <c r="G4353" t="n">
        <v>1.7</v>
      </c>
      <c r="H4353" t="n">
        <v>0</v>
      </c>
      <c r="I4353" t="n">
        <v>0</v>
      </c>
      <c r="J4353" t="n">
        <v>0</v>
      </c>
      <c r="K4353" t="n">
        <v>0</v>
      </c>
      <c r="L4353" t="n">
        <v>0</v>
      </c>
      <c r="M4353" t="n">
        <v>0</v>
      </c>
      <c r="N4353" t="n">
        <v>0</v>
      </c>
      <c r="O4353" t="n">
        <v>0</v>
      </c>
      <c r="P4353" t="n">
        <v>0</v>
      </c>
      <c r="Q4353" t="n">
        <v>0</v>
      </c>
      <c r="R4353" s="2" t="inlineStr"/>
    </row>
    <row r="4354" ht="15" customHeight="1">
      <c r="A4354" t="inlineStr">
        <is>
          <t>A 44841-2023</t>
        </is>
      </c>
      <c r="B4354" s="1" t="n">
        <v>45190.55920138889</v>
      </c>
      <c r="C4354" s="1" t="n">
        <v>45952</v>
      </c>
      <c r="D4354" t="inlineStr">
        <is>
          <t>ÖREBRO LÄN</t>
        </is>
      </c>
      <c r="E4354" t="inlineStr">
        <is>
          <t>DEGERFORS</t>
        </is>
      </c>
      <c r="F4354" t="inlineStr">
        <is>
          <t>Sveaskog</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1413-2025</t>
        </is>
      </c>
      <c r="B4355" s="1" t="n">
        <v>45668</v>
      </c>
      <c r="C4355" s="1" t="n">
        <v>45952</v>
      </c>
      <c r="D4355" t="inlineStr">
        <is>
          <t>ÖREBRO LÄN</t>
        </is>
      </c>
      <c r="E4355" t="inlineStr">
        <is>
          <t>HALLSBERG</t>
        </is>
      </c>
      <c r="G4355" t="n">
        <v>5.6</v>
      </c>
      <c r="H4355" t="n">
        <v>0</v>
      </c>
      <c r="I4355" t="n">
        <v>0</v>
      </c>
      <c r="J4355" t="n">
        <v>0</v>
      </c>
      <c r="K4355" t="n">
        <v>0</v>
      </c>
      <c r="L4355" t="n">
        <v>0</v>
      </c>
      <c r="M4355" t="n">
        <v>0</v>
      </c>
      <c r="N4355" t="n">
        <v>0</v>
      </c>
      <c r="O4355" t="n">
        <v>0</v>
      </c>
      <c r="P4355" t="n">
        <v>0</v>
      </c>
      <c r="Q4355" t="n">
        <v>0</v>
      </c>
      <c r="R4355" s="2" t="inlineStr"/>
    </row>
    <row r="4356" ht="15" customHeight="1">
      <c r="A4356" t="inlineStr">
        <is>
          <t>A 61314-2024</t>
        </is>
      </c>
      <c r="B4356" s="1" t="n">
        <v>45646.31635416667</v>
      </c>
      <c r="C4356" s="1" t="n">
        <v>45952</v>
      </c>
      <c r="D4356" t="inlineStr">
        <is>
          <t>ÖREBRO LÄN</t>
        </is>
      </c>
      <c r="E4356" t="inlineStr">
        <is>
          <t>LEKEBERG</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59633-2023</t>
        </is>
      </c>
      <c r="B4357" s="1" t="n">
        <v>45254</v>
      </c>
      <c r="C4357" s="1" t="n">
        <v>45952</v>
      </c>
      <c r="D4357" t="inlineStr">
        <is>
          <t>ÖREBRO LÄN</t>
        </is>
      </c>
      <c r="E4357" t="inlineStr">
        <is>
          <t>LINDESBERG</t>
        </is>
      </c>
      <c r="F4357" t="inlineStr">
        <is>
          <t>Sveaskog</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5559-2024</t>
        </is>
      </c>
      <c r="B4358" s="1" t="n">
        <v>45334</v>
      </c>
      <c r="C4358" s="1" t="n">
        <v>45952</v>
      </c>
      <c r="D4358" t="inlineStr">
        <is>
          <t>ÖREBRO LÄN</t>
        </is>
      </c>
      <c r="E4358" t="inlineStr">
        <is>
          <t>LEKEBERG</t>
        </is>
      </c>
      <c r="G4358" t="n">
        <v>2.9</v>
      </c>
      <c r="H4358" t="n">
        <v>0</v>
      </c>
      <c r="I4358" t="n">
        <v>0</v>
      </c>
      <c r="J4358" t="n">
        <v>0</v>
      </c>
      <c r="K4358" t="n">
        <v>0</v>
      </c>
      <c r="L4358" t="n">
        <v>0</v>
      </c>
      <c r="M4358" t="n">
        <v>0</v>
      </c>
      <c r="N4358" t="n">
        <v>0</v>
      </c>
      <c r="O4358" t="n">
        <v>0</v>
      </c>
      <c r="P4358" t="n">
        <v>0</v>
      </c>
      <c r="Q4358" t="n">
        <v>0</v>
      </c>
      <c r="R4358" s="2" t="inlineStr"/>
    </row>
    <row r="4359" ht="15" customHeight="1">
      <c r="A4359" t="inlineStr">
        <is>
          <t>A 13414-2025</t>
        </is>
      </c>
      <c r="B4359" s="1" t="n">
        <v>45736.2803125</v>
      </c>
      <c r="C4359" s="1" t="n">
        <v>45952</v>
      </c>
      <c r="D4359" t="inlineStr">
        <is>
          <t>ÖREBRO LÄN</t>
        </is>
      </c>
      <c r="E4359" t="inlineStr">
        <is>
          <t>DEGERFORS</t>
        </is>
      </c>
      <c r="F4359" t="inlineStr">
        <is>
          <t>Sveaskog</t>
        </is>
      </c>
      <c r="G4359" t="n">
        <v>3.1</v>
      </c>
      <c r="H4359" t="n">
        <v>0</v>
      </c>
      <c r="I4359" t="n">
        <v>0</v>
      </c>
      <c r="J4359" t="n">
        <v>0</v>
      </c>
      <c r="K4359" t="n">
        <v>0</v>
      </c>
      <c r="L4359" t="n">
        <v>0</v>
      </c>
      <c r="M4359" t="n">
        <v>0</v>
      </c>
      <c r="N4359" t="n">
        <v>0</v>
      </c>
      <c r="O4359" t="n">
        <v>0</v>
      </c>
      <c r="P4359" t="n">
        <v>0</v>
      </c>
      <c r="Q4359" t="n">
        <v>0</v>
      </c>
      <c r="R4359" s="2" t="inlineStr"/>
    </row>
    <row r="4360" ht="15" customHeight="1">
      <c r="A4360" t="inlineStr">
        <is>
          <t>A 13416-2025</t>
        </is>
      </c>
      <c r="B4360" s="1" t="n">
        <v>45736.308125</v>
      </c>
      <c r="C4360" s="1" t="n">
        <v>45952</v>
      </c>
      <c r="D4360" t="inlineStr">
        <is>
          <t>ÖREBRO LÄN</t>
        </is>
      </c>
      <c r="E4360" t="inlineStr">
        <is>
          <t>LINDESBERG</t>
        </is>
      </c>
      <c r="G4360" t="n">
        <v>2.2</v>
      </c>
      <c r="H4360" t="n">
        <v>0</v>
      </c>
      <c r="I4360" t="n">
        <v>0</v>
      </c>
      <c r="J4360" t="n">
        <v>0</v>
      </c>
      <c r="K4360" t="n">
        <v>0</v>
      </c>
      <c r="L4360" t="n">
        <v>0</v>
      </c>
      <c r="M4360" t="n">
        <v>0</v>
      </c>
      <c r="N4360" t="n">
        <v>0</v>
      </c>
      <c r="O4360" t="n">
        <v>0</v>
      </c>
      <c r="P4360" t="n">
        <v>0</v>
      </c>
      <c r="Q4360" t="n">
        <v>0</v>
      </c>
      <c r="R4360" s="2" t="inlineStr"/>
    </row>
    <row r="4361" ht="15" customHeight="1">
      <c r="A4361" t="inlineStr">
        <is>
          <t>A 13496-2025</t>
        </is>
      </c>
      <c r="B4361" s="1" t="n">
        <v>45736.44390046296</v>
      </c>
      <c r="C4361" s="1" t="n">
        <v>45952</v>
      </c>
      <c r="D4361" t="inlineStr">
        <is>
          <t>ÖREBRO LÄN</t>
        </is>
      </c>
      <c r="E4361" t="inlineStr">
        <is>
          <t>KARLSKOGA</t>
        </is>
      </c>
      <c r="G4361" t="n">
        <v>8.800000000000001</v>
      </c>
      <c r="H4361" t="n">
        <v>0</v>
      </c>
      <c r="I4361" t="n">
        <v>0</v>
      </c>
      <c r="J4361" t="n">
        <v>0</v>
      </c>
      <c r="K4361" t="n">
        <v>0</v>
      </c>
      <c r="L4361" t="n">
        <v>0</v>
      </c>
      <c r="M4361" t="n">
        <v>0</v>
      </c>
      <c r="N4361" t="n">
        <v>0</v>
      </c>
      <c r="O4361" t="n">
        <v>0</v>
      </c>
      <c r="P4361" t="n">
        <v>0</v>
      </c>
      <c r="Q4361" t="n">
        <v>0</v>
      </c>
      <c r="R4361" s="2" t="inlineStr"/>
    </row>
    <row r="4362" ht="15" customHeight="1">
      <c r="A4362" t="inlineStr">
        <is>
          <t>A 43768-2024</t>
        </is>
      </c>
      <c r="B4362" s="1" t="n">
        <v>45569</v>
      </c>
      <c r="C4362" s="1" t="n">
        <v>45952</v>
      </c>
      <c r="D4362" t="inlineStr">
        <is>
          <t>ÖREBRO LÄN</t>
        </is>
      </c>
      <c r="E4362" t="inlineStr">
        <is>
          <t>DEGERFORS</t>
        </is>
      </c>
      <c r="G4362" t="n">
        <v>7</v>
      </c>
      <c r="H4362" t="n">
        <v>0</v>
      </c>
      <c r="I4362" t="n">
        <v>0</v>
      </c>
      <c r="J4362" t="n">
        <v>0</v>
      </c>
      <c r="K4362" t="n">
        <v>0</v>
      </c>
      <c r="L4362" t="n">
        <v>0</v>
      </c>
      <c r="M4362" t="n">
        <v>0</v>
      </c>
      <c r="N4362" t="n">
        <v>0</v>
      </c>
      <c r="O4362" t="n">
        <v>0</v>
      </c>
      <c r="P4362" t="n">
        <v>0</v>
      </c>
      <c r="Q4362" t="n">
        <v>0</v>
      </c>
      <c r="R4362" s="2" t="inlineStr"/>
    </row>
    <row r="4363" ht="15" customHeight="1">
      <c r="A4363" t="inlineStr">
        <is>
          <t>A 52292-2021</t>
        </is>
      </c>
      <c r="B4363" s="1" t="n">
        <v>44463.67348379629</v>
      </c>
      <c r="C4363" s="1" t="n">
        <v>45952</v>
      </c>
      <c r="D4363" t="inlineStr">
        <is>
          <t>ÖREBRO LÄN</t>
        </is>
      </c>
      <c r="E4363" t="inlineStr">
        <is>
          <t>ASKERSUND</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12053-2022</t>
        </is>
      </c>
      <c r="B4364" s="1" t="n">
        <v>44636</v>
      </c>
      <c r="C4364" s="1" t="n">
        <v>45952</v>
      </c>
      <c r="D4364" t="inlineStr">
        <is>
          <t>ÖREBRO LÄN</t>
        </is>
      </c>
      <c r="E4364" t="inlineStr">
        <is>
          <t>HALLSBERG</t>
        </is>
      </c>
      <c r="G4364" t="n">
        <v>3.1</v>
      </c>
      <c r="H4364" t="n">
        <v>0</v>
      </c>
      <c r="I4364" t="n">
        <v>0</v>
      </c>
      <c r="J4364" t="n">
        <v>0</v>
      </c>
      <c r="K4364" t="n">
        <v>0</v>
      </c>
      <c r="L4364" t="n">
        <v>0</v>
      </c>
      <c r="M4364" t="n">
        <v>0</v>
      </c>
      <c r="N4364" t="n">
        <v>0</v>
      </c>
      <c r="O4364" t="n">
        <v>0</v>
      </c>
      <c r="P4364" t="n">
        <v>0</v>
      </c>
      <c r="Q4364" t="n">
        <v>0</v>
      </c>
      <c r="R4364" s="2" t="inlineStr"/>
    </row>
    <row r="4365" ht="15" customHeight="1">
      <c r="A4365" t="inlineStr">
        <is>
          <t>A 16936-2023</t>
        </is>
      </c>
      <c r="B4365" s="1" t="n">
        <v>45033.63005787037</v>
      </c>
      <c r="C4365" s="1" t="n">
        <v>45952</v>
      </c>
      <c r="D4365" t="inlineStr">
        <is>
          <t>ÖREBRO LÄN</t>
        </is>
      </c>
      <c r="E4365" t="inlineStr">
        <is>
          <t>ÖREBRO</t>
        </is>
      </c>
      <c r="G4365" t="n">
        <v>2</v>
      </c>
      <c r="H4365" t="n">
        <v>0</v>
      </c>
      <c r="I4365" t="n">
        <v>0</v>
      </c>
      <c r="J4365" t="n">
        <v>0</v>
      </c>
      <c r="K4365" t="n">
        <v>0</v>
      </c>
      <c r="L4365" t="n">
        <v>0</v>
      </c>
      <c r="M4365" t="n">
        <v>0</v>
      </c>
      <c r="N4365" t="n">
        <v>0</v>
      </c>
      <c r="O4365" t="n">
        <v>0</v>
      </c>
      <c r="P4365" t="n">
        <v>0</v>
      </c>
      <c r="Q4365" t="n">
        <v>0</v>
      </c>
      <c r="R4365" s="2" t="inlineStr"/>
    </row>
    <row r="4366" ht="15" customHeight="1">
      <c r="A4366" t="inlineStr">
        <is>
          <t>A 40588-2021</t>
        </is>
      </c>
      <c r="B4366" s="1" t="n">
        <v>44420</v>
      </c>
      <c r="C4366" s="1" t="n">
        <v>45952</v>
      </c>
      <c r="D4366" t="inlineStr">
        <is>
          <t>ÖREBRO LÄN</t>
        </is>
      </c>
      <c r="E4366" t="inlineStr">
        <is>
          <t>ÖREBRO</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24359-2023</t>
        </is>
      </c>
      <c r="B4367" s="1" t="n">
        <v>45082</v>
      </c>
      <c r="C4367" s="1" t="n">
        <v>45952</v>
      </c>
      <c r="D4367" t="inlineStr">
        <is>
          <t>ÖREBRO LÄN</t>
        </is>
      </c>
      <c r="E4367" t="inlineStr">
        <is>
          <t>HÄLLEFORS</t>
        </is>
      </c>
      <c r="F4367" t="inlineStr">
        <is>
          <t>Sveaskog</t>
        </is>
      </c>
      <c r="G4367" t="n">
        <v>2</v>
      </c>
      <c r="H4367" t="n">
        <v>0</v>
      </c>
      <c r="I4367" t="n">
        <v>0</v>
      </c>
      <c r="J4367" t="n">
        <v>0</v>
      </c>
      <c r="K4367" t="n">
        <v>0</v>
      </c>
      <c r="L4367" t="n">
        <v>0</v>
      </c>
      <c r="M4367" t="n">
        <v>0</v>
      </c>
      <c r="N4367" t="n">
        <v>0</v>
      </c>
      <c r="O4367" t="n">
        <v>0</v>
      </c>
      <c r="P4367" t="n">
        <v>0</v>
      </c>
      <c r="Q4367" t="n">
        <v>0</v>
      </c>
      <c r="R4367" s="2" t="inlineStr"/>
    </row>
    <row r="4368" ht="15" customHeight="1">
      <c r="A4368" t="inlineStr">
        <is>
          <t>A 53019-2021</t>
        </is>
      </c>
      <c r="B4368" s="1" t="n">
        <v>44467</v>
      </c>
      <c r="C4368" s="1" t="n">
        <v>45952</v>
      </c>
      <c r="D4368" t="inlineStr">
        <is>
          <t>ÖREBRO LÄN</t>
        </is>
      </c>
      <c r="E4368" t="inlineStr">
        <is>
          <t>ASKERSUND</t>
        </is>
      </c>
      <c r="F4368" t="inlineStr">
        <is>
          <t>Sveaskog</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27051-2023</t>
        </is>
      </c>
      <c r="B4369" s="1" t="n">
        <v>45095</v>
      </c>
      <c r="C4369" s="1" t="n">
        <v>45952</v>
      </c>
      <c r="D4369" t="inlineStr">
        <is>
          <t>ÖREBRO LÄN</t>
        </is>
      </c>
      <c r="E4369" t="inlineStr">
        <is>
          <t>LINDESBERG</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35656-2024</t>
        </is>
      </c>
      <c r="B4370" s="1" t="n">
        <v>45532</v>
      </c>
      <c r="C4370" s="1" t="n">
        <v>45952</v>
      </c>
      <c r="D4370" t="inlineStr">
        <is>
          <t>ÖREBRO LÄN</t>
        </is>
      </c>
      <c r="E4370" t="inlineStr">
        <is>
          <t>NORA</t>
        </is>
      </c>
      <c r="G4370" t="n">
        <v>1</v>
      </c>
      <c r="H4370" t="n">
        <v>0</v>
      </c>
      <c r="I4370" t="n">
        <v>0</v>
      </c>
      <c r="J4370" t="n">
        <v>0</v>
      </c>
      <c r="K4370" t="n">
        <v>0</v>
      </c>
      <c r="L4370" t="n">
        <v>0</v>
      </c>
      <c r="M4370" t="n">
        <v>0</v>
      </c>
      <c r="N4370" t="n">
        <v>0</v>
      </c>
      <c r="O4370" t="n">
        <v>0</v>
      </c>
      <c r="P4370" t="n">
        <v>0</v>
      </c>
      <c r="Q4370" t="n">
        <v>0</v>
      </c>
      <c r="R4370" s="2" t="inlineStr"/>
    </row>
    <row r="4371" ht="15" customHeight="1">
      <c r="A4371" t="inlineStr">
        <is>
          <t>A 8565-2021</t>
        </is>
      </c>
      <c r="B4371" s="1" t="n">
        <v>44245</v>
      </c>
      <c r="C4371" s="1" t="n">
        <v>45952</v>
      </c>
      <c r="D4371" t="inlineStr">
        <is>
          <t>ÖREBRO LÄN</t>
        </is>
      </c>
      <c r="E4371" t="inlineStr">
        <is>
          <t>ÖREBRO</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8575-2021</t>
        </is>
      </c>
      <c r="B4372" s="1" t="n">
        <v>44245</v>
      </c>
      <c r="C4372" s="1" t="n">
        <v>45952</v>
      </c>
      <c r="D4372" t="inlineStr">
        <is>
          <t>ÖREBRO LÄN</t>
        </is>
      </c>
      <c r="E4372" t="inlineStr">
        <is>
          <t>ÖREBRO</t>
        </is>
      </c>
      <c r="G4372" t="n">
        <v>3.4</v>
      </c>
      <c r="H4372" t="n">
        <v>0</v>
      </c>
      <c r="I4372" t="n">
        <v>0</v>
      </c>
      <c r="J4372" t="n">
        <v>0</v>
      </c>
      <c r="K4372" t="n">
        <v>0</v>
      </c>
      <c r="L4372" t="n">
        <v>0</v>
      </c>
      <c r="M4372" t="n">
        <v>0</v>
      </c>
      <c r="N4372" t="n">
        <v>0</v>
      </c>
      <c r="O4372" t="n">
        <v>0</v>
      </c>
      <c r="P4372" t="n">
        <v>0</v>
      </c>
      <c r="Q4372" t="n">
        <v>0</v>
      </c>
      <c r="R4372" s="2" t="inlineStr"/>
    </row>
    <row r="4373" ht="15" customHeight="1">
      <c r="A4373" t="inlineStr">
        <is>
          <t>A 18146-2023</t>
        </is>
      </c>
      <c r="B4373" s="1" t="n">
        <v>45040</v>
      </c>
      <c r="C4373" s="1" t="n">
        <v>45952</v>
      </c>
      <c r="D4373" t="inlineStr">
        <is>
          <t>ÖREBRO LÄN</t>
        </is>
      </c>
      <c r="E4373" t="inlineStr">
        <is>
          <t>HALLSBERG</t>
        </is>
      </c>
      <c r="G4373" t="n">
        <v>31.3</v>
      </c>
      <c r="H4373" t="n">
        <v>0</v>
      </c>
      <c r="I4373" t="n">
        <v>0</v>
      </c>
      <c r="J4373" t="n">
        <v>0</v>
      </c>
      <c r="K4373" t="n">
        <v>0</v>
      </c>
      <c r="L4373" t="n">
        <v>0</v>
      </c>
      <c r="M4373" t="n">
        <v>0</v>
      </c>
      <c r="N4373" t="n">
        <v>0</v>
      </c>
      <c r="O4373" t="n">
        <v>0</v>
      </c>
      <c r="P4373" t="n">
        <v>0</v>
      </c>
      <c r="Q4373" t="n">
        <v>0</v>
      </c>
      <c r="R4373" s="2" t="inlineStr"/>
    </row>
    <row r="4374" ht="15" customHeight="1">
      <c r="A4374" t="inlineStr">
        <is>
          <t>A 43801-2024</t>
        </is>
      </c>
      <c r="B4374" s="1" t="n">
        <v>45571.71736111111</v>
      </c>
      <c r="C4374" s="1" t="n">
        <v>45952</v>
      </c>
      <c r="D4374" t="inlineStr">
        <is>
          <t>ÖREBRO LÄN</t>
        </is>
      </c>
      <c r="E4374" t="inlineStr">
        <is>
          <t>LINDESBERG</t>
        </is>
      </c>
      <c r="F4374" t="inlineStr">
        <is>
          <t>Sveaskog</t>
        </is>
      </c>
      <c r="G4374" t="n">
        <v>2.1</v>
      </c>
      <c r="H4374" t="n">
        <v>0</v>
      </c>
      <c r="I4374" t="n">
        <v>0</v>
      </c>
      <c r="J4374" t="n">
        <v>0</v>
      </c>
      <c r="K4374" t="n">
        <v>0</v>
      </c>
      <c r="L4374" t="n">
        <v>0</v>
      </c>
      <c r="M4374" t="n">
        <v>0</v>
      </c>
      <c r="N4374" t="n">
        <v>0</v>
      </c>
      <c r="O4374" t="n">
        <v>0</v>
      </c>
      <c r="P4374" t="n">
        <v>0</v>
      </c>
      <c r="Q4374" t="n">
        <v>0</v>
      </c>
      <c r="R4374" s="2" t="inlineStr"/>
    </row>
    <row r="4375" ht="15" customHeight="1">
      <c r="A4375" t="inlineStr">
        <is>
          <t>A 57485-2023</t>
        </is>
      </c>
      <c r="B4375" s="1" t="n">
        <v>45246</v>
      </c>
      <c r="C4375" s="1" t="n">
        <v>45952</v>
      </c>
      <c r="D4375" t="inlineStr">
        <is>
          <t>ÖREBRO LÄN</t>
        </is>
      </c>
      <c r="E4375" t="inlineStr">
        <is>
          <t>ÖREBRO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48268-2021</t>
        </is>
      </c>
      <c r="B4376" s="1" t="n">
        <v>44449.66981481481</v>
      </c>
      <c r="C4376" s="1" t="n">
        <v>45952</v>
      </c>
      <c r="D4376" t="inlineStr">
        <is>
          <t>ÖREBRO LÄN</t>
        </is>
      </c>
      <c r="E4376" t="inlineStr">
        <is>
          <t>LEKEBERG</t>
        </is>
      </c>
      <c r="G4376" t="n">
        <v>9.699999999999999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48118-2023</t>
        </is>
      </c>
      <c r="B4377" s="1" t="n">
        <v>45205</v>
      </c>
      <c r="C4377" s="1" t="n">
        <v>45952</v>
      </c>
      <c r="D4377" t="inlineStr">
        <is>
          <t>ÖREBRO LÄN</t>
        </is>
      </c>
      <c r="E4377" t="inlineStr">
        <is>
          <t>DEGERFORS</t>
        </is>
      </c>
      <c r="F4377" t="inlineStr">
        <is>
          <t>Sveaskog</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9312-2024</t>
        </is>
      </c>
      <c r="B4378" s="1" t="n">
        <v>45358</v>
      </c>
      <c r="C4378" s="1" t="n">
        <v>45952</v>
      </c>
      <c r="D4378" t="inlineStr">
        <is>
          <t>ÖREBRO LÄN</t>
        </is>
      </c>
      <c r="E4378" t="inlineStr">
        <is>
          <t>LAXÅ</t>
        </is>
      </c>
      <c r="G4378" t="n">
        <v>2.7</v>
      </c>
      <c r="H4378" t="n">
        <v>0</v>
      </c>
      <c r="I4378" t="n">
        <v>0</v>
      </c>
      <c r="J4378" t="n">
        <v>0</v>
      </c>
      <c r="K4378" t="n">
        <v>0</v>
      </c>
      <c r="L4378" t="n">
        <v>0</v>
      </c>
      <c r="M4378" t="n">
        <v>0</v>
      </c>
      <c r="N4378" t="n">
        <v>0</v>
      </c>
      <c r="O4378" t="n">
        <v>0</v>
      </c>
      <c r="P4378" t="n">
        <v>0</v>
      </c>
      <c r="Q4378" t="n">
        <v>0</v>
      </c>
      <c r="R4378" s="2" t="inlineStr"/>
    </row>
    <row r="4379" ht="15" customHeight="1">
      <c r="A4379" t="inlineStr">
        <is>
          <t>A 45072-2024</t>
        </is>
      </c>
      <c r="B4379" s="1" t="n">
        <v>45575.56686342593</v>
      </c>
      <c r="C4379" s="1" t="n">
        <v>45952</v>
      </c>
      <c r="D4379" t="inlineStr">
        <is>
          <t>ÖREBRO LÄN</t>
        </is>
      </c>
      <c r="E4379" t="inlineStr">
        <is>
          <t>LINDESBERG</t>
        </is>
      </c>
      <c r="F4379" t="inlineStr">
        <is>
          <t>Sveaskog</t>
        </is>
      </c>
      <c r="G4379" t="n">
        <v>2</v>
      </c>
      <c r="H4379" t="n">
        <v>0</v>
      </c>
      <c r="I4379" t="n">
        <v>0</v>
      </c>
      <c r="J4379" t="n">
        <v>0</v>
      </c>
      <c r="K4379" t="n">
        <v>0</v>
      </c>
      <c r="L4379" t="n">
        <v>0</v>
      </c>
      <c r="M4379" t="n">
        <v>0</v>
      </c>
      <c r="N4379" t="n">
        <v>0</v>
      </c>
      <c r="O4379" t="n">
        <v>0</v>
      </c>
      <c r="P4379" t="n">
        <v>0</v>
      </c>
      <c r="Q4379" t="n">
        <v>0</v>
      </c>
      <c r="R4379" s="2" t="inlineStr"/>
    </row>
    <row r="4380" ht="15" customHeight="1">
      <c r="A4380" t="inlineStr">
        <is>
          <t>A 45075-2024</t>
        </is>
      </c>
      <c r="B4380" s="1" t="n">
        <v>45575.56820601852</v>
      </c>
      <c r="C4380" s="1" t="n">
        <v>45952</v>
      </c>
      <c r="D4380" t="inlineStr">
        <is>
          <t>ÖREBRO LÄN</t>
        </is>
      </c>
      <c r="E4380" t="inlineStr">
        <is>
          <t>LINDESBERG</t>
        </is>
      </c>
      <c r="F4380" t="inlineStr">
        <is>
          <t>Sveaskog</t>
        </is>
      </c>
      <c r="G4380" t="n">
        <v>1</v>
      </c>
      <c r="H4380" t="n">
        <v>0</v>
      </c>
      <c r="I4380" t="n">
        <v>0</v>
      </c>
      <c r="J4380" t="n">
        <v>0</v>
      </c>
      <c r="K4380" t="n">
        <v>0</v>
      </c>
      <c r="L4380" t="n">
        <v>0</v>
      </c>
      <c r="M4380" t="n">
        <v>0</v>
      </c>
      <c r="N4380" t="n">
        <v>0</v>
      </c>
      <c r="O4380" t="n">
        <v>0</v>
      </c>
      <c r="P4380" t="n">
        <v>0</v>
      </c>
      <c r="Q4380" t="n">
        <v>0</v>
      </c>
      <c r="R4380" s="2" t="inlineStr"/>
    </row>
    <row r="4381" ht="15" customHeight="1">
      <c r="A4381" t="inlineStr">
        <is>
          <t>A 1288-2024</t>
        </is>
      </c>
      <c r="B4381" s="1" t="n">
        <v>45303</v>
      </c>
      <c r="C4381" s="1" t="n">
        <v>45952</v>
      </c>
      <c r="D4381" t="inlineStr">
        <is>
          <t>ÖREBRO LÄN</t>
        </is>
      </c>
      <c r="E4381" t="inlineStr">
        <is>
          <t>HÄLLEFORS</t>
        </is>
      </c>
      <c r="G4381" t="n">
        <v>1.2</v>
      </c>
      <c r="H4381" t="n">
        <v>0</v>
      </c>
      <c r="I4381" t="n">
        <v>0</v>
      </c>
      <c r="J4381" t="n">
        <v>0</v>
      </c>
      <c r="K4381" t="n">
        <v>0</v>
      </c>
      <c r="L4381" t="n">
        <v>0</v>
      </c>
      <c r="M4381" t="n">
        <v>0</v>
      </c>
      <c r="N4381" t="n">
        <v>0</v>
      </c>
      <c r="O4381" t="n">
        <v>0</v>
      </c>
      <c r="P4381" t="n">
        <v>0</v>
      </c>
      <c r="Q4381" t="n">
        <v>0</v>
      </c>
      <c r="R4381" s="2" t="inlineStr"/>
    </row>
    <row r="4382" ht="15" customHeight="1">
      <c r="A4382" t="inlineStr">
        <is>
          <t>A 37025-2024</t>
        </is>
      </c>
      <c r="B4382" s="1" t="n">
        <v>45539.3840162037</v>
      </c>
      <c r="C4382" s="1" t="n">
        <v>45952</v>
      </c>
      <c r="D4382" t="inlineStr">
        <is>
          <t>ÖREBRO LÄN</t>
        </is>
      </c>
      <c r="E4382" t="inlineStr">
        <is>
          <t>ÖREBRO</t>
        </is>
      </c>
      <c r="F4382" t="inlineStr">
        <is>
          <t>Sveaskog</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37027-2024</t>
        </is>
      </c>
      <c r="B4383" s="1" t="n">
        <v>45539.38487268519</v>
      </c>
      <c r="C4383" s="1" t="n">
        <v>45952</v>
      </c>
      <c r="D4383" t="inlineStr">
        <is>
          <t>ÖREBRO LÄN</t>
        </is>
      </c>
      <c r="E4383" t="inlineStr">
        <is>
          <t>ÖREBRO</t>
        </is>
      </c>
      <c r="F4383" t="inlineStr">
        <is>
          <t>Sveaskog</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59265-2020</t>
        </is>
      </c>
      <c r="B4384" s="1" t="n">
        <v>44147.67359953704</v>
      </c>
      <c r="C4384" s="1" t="n">
        <v>45952</v>
      </c>
      <c r="D4384" t="inlineStr">
        <is>
          <t>ÖREBRO LÄN</t>
        </is>
      </c>
      <c r="E4384" t="inlineStr">
        <is>
          <t>ÖREBRO</t>
        </is>
      </c>
      <c r="G4384" t="n">
        <v>2.4</v>
      </c>
      <c r="H4384" t="n">
        <v>0</v>
      </c>
      <c r="I4384" t="n">
        <v>0</v>
      </c>
      <c r="J4384" t="n">
        <v>0</v>
      </c>
      <c r="K4384" t="n">
        <v>0</v>
      </c>
      <c r="L4384" t="n">
        <v>0</v>
      </c>
      <c r="M4384" t="n">
        <v>0</v>
      </c>
      <c r="N4384" t="n">
        <v>0</v>
      </c>
      <c r="O4384" t="n">
        <v>0</v>
      </c>
      <c r="P4384" t="n">
        <v>0</v>
      </c>
      <c r="Q4384" t="n">
        <v>0</v>
      </c>
      <c r="R4384" s="2" t="inlineStr"/>
    </row>
    <row r="4385" ht="15" customHeight="1">
      <c r="A4385" t="inlineStr">
        <is>
          <t>A 56887-2022</t>
        </is>
      </c>
      <c r="B4385" s="1" t="n">
        <v>44894.57006944445</v>
      </c>
      <c r="C4385" s="1" t="n">
        <v>45952</v>
      </c>
      <c r="D4385" t="inlineStr">
        <is>
          <t>ÖREBRO LÄN</t>
        </is>
      </c>
      <c r="E4385" t="inlineStr">
        <is>
          <t>KARLSKOGA</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60506-2024</t>
        </is>
      </c>
      <c r="B4386" s="1" t="n">
        <v>45643.66630787037</v>
      </c>
      <c r="C4386" s="1" t="n">
        <v>45952</v>
      </c>
      <c r="D4386" t="inlineStr">
        <is>
          <t>ÖREBRO LÄN</t>
        </is>
      </c>
      <c r="E4386" t="inlineStr">
        <is>
          <t>ÖREBRO</t>
        </is>
      </c>
      <c r="G4386" t="n">
        <v>5.8</v>
      </c>
      <c r="H4386" t="n">
        <v>0</v>
      </c>
      <c r="I4386" t="n">
        <v>0</v>
      </c>
      <c r="J4386" t="n">
        <v>0</v>
      </c>
      <c r="K4386" t="n">
        <v>0</v>
      </c>
      <c r="L4386" t="n">
        <v>0</v>
      </c>
      <c r="M4386" t="n">
        <v>0</v>
      </c>
      <c r="N4386" t="n">
        <v>0</v>
      </c>
      <c r="O4386" t="n">
        <v>0</v>
      </c>
      <c r="P4386" t="n">
        <v>0</v>
      </c>
      <c r="Q4386" t="n">
        <v>0</v>
      </c>
      <c r="R4386" s="2" t="inlineStr"/>
    </row>
    <row r="4387" ht="15" customHeight="1">
      <c r="A4387" t="inlineStr">
        <is>
          <t>A 61405-2022</t>
        </is>
      </c>
      <c r="B4387" s="1" t="n">
        <v>44916</v>
      </c>
      <c r="C4387" s="1" t="n">
        <v>45952</v>
      </c>
      <c r="D4387" t="inlineStr">
        <is>
          <t>ÖREBRO LÄN</t>
        </is>
      </c>
      <c r="E4387" t="inlineStr">
        <is>
          <t>LINDESBERG</t>
        </is>
      </c>
      <c r="G4387" t="n">
        <v>4.4</v>
      </c>
      <c r="H4387" t="n">
        <v>0</v>
      </c>
      <c r="I4387" t="n">
        <v>0</v>
      </c>
      <c r="J4387" t="n">
        <v>0</v>
      </c>
      <c r="K4387" t="n">
        <v>0</v>
      </c>
      <c r="L4387" t="n">
        <v>0</v>
      </c>
      <c r="M4387" t="n">
        <v>0</v>
      </c>
      <c r="N4387" t="n">
        <v>0</v>
      </c>
      <c r="O4387" t="n">
        <v>0</v>
      </c>
      <c r="P4387" t="n">
        <v>0</v>
      </c>
      <c r="Q4387" t="n">
        <v>0</v>
      </c>
      <c r="R4387" s="2" t="inlineStr"/>
    </row>
    <row r="4388" ht="15" customHeight="1">
      <c r="A4388" t="inlineStr">
        <is>
          <t>A 59874-2020</t>
        </is>
      </c>
      <c r="B4388" s="1" t="n">
        <v>44151</v>
      </c>
      <c r="C4388" s="1" t="n">
        <v>45952</v>
      </c>
      <c r="D4388" t="inlineStr">
        <is>
          <t>ÖREBRO LÄN</t>
        </is>
      </c>
      <c r="E4388" t="inlineStr">
        <is>
          <t>ASKERSUND</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55099-2024</t>
        </is>
      </c>
      <c r="B4389" s="1" t="n">
        <v>45621</v>
      </c>
      <c r="C4389" s="1" t="n">
        <v>45952</v>
      </c>
      <c r="D4389" t="inlineStr">
        <is>
          <t>ÖREBRO LÄN</t>
        </is>
      </c>
      <c r="E4389" t="inlineStr">
        <is>
          <t>HÄLLEFORS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19751-2024</t>
        </is>
      </c>
      <c r="B4390" s="1" t="n">
        <v>45432.66449074074</v>
      </c>
      <c r="C4390" s="1" t="n">
        <v>45952</v>
      </c>
      <c r="D4390" t="inlineStr">
        <is>
          <t>ÖREBRO LÄN</t>
        </is>
      </c>
      <c r="E4390" t="inlineStr">
        <is>
          <t>HALLSBERG</t>
        </is>
      </c>
      <c r="F4390" t="inlineStr">
        <is>
          <t>Sveaskog</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53012-2023</t>
        </is>
      </c>
      <c r="B4391" s="1" t="n">
        <v>45226</v>
      </c>
      <c r="C4391" s="1" t="n">
        <v>45952</v>
      </c>
      <c r="D4391" t="inlineStr">
        <is>
          <t>ÖREBRO LÄN</t>
        </is>
      </c>
      <c r="E4391" t="inlineStr">
        <is>
          <t>HALLSBERG</t>
        </is>
      </c>
      <c r="F4391" t="inlineStr">
        <is>
          <t>Sveaskog</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40563-2023</t>
        </is>
      </c>
      <c r="B4392" s="1" t="n">
        <v>45170.45921296296</v>
      </c>
      <c r="C4392" s="1" t="n">
        <v>45952</v>
      </c>
      <c r="D4392" t="inlineStr">
        <is>
          <t>ÖREBRO LÄN</t>
        </is>
      </c>
      <c r="E4392" t="inlineStr">
        <is>
          <t>LINDESBERG</t>
        </is>
      </c>
      <c r="F4392" t="inlineStr">
        <is>
          <t>Sveaskog</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8210-2022</t>
        </is>
      </c>
      <c r="B4393" s="1" t="n">
        <v>44609</v>
      </c>
      <c r="C4393" s="1" t="n">
        <v>45952</v>
      </c>
      <c r="D4393" t="inlineStr">
        <is>
          <t>ÖREBRO LÄN</t>
        </is>
      </c>
      <c r="E4393" t="inlineStr">
        <is>
          <t>ASKERSUND</t>
        </is>
      </c>
      <c r="G4393" t="n">
        <v>8.300000000000001</v>
      </c>
      <c r="H4393" t="n">
        <v>0</v>
      </c>
      <c r="I4393" t="n">
        <v>0</v>
      </c>
      <c r="J4393" t="n">
        <v>0</v>
      </c>
      <c r="K4393" t="n">
        <v>0</v>
      </c>
      <c r="L4393" t="n">
        <v>0</v>
      </c>
      <c r="M4393" t="n">
        <v>0</v>
      </c>
      <c r="N4393" t="n">
        <v>0</v>
      </c>
      <c r="O4393" t="n">
        <v>0</v>
      </c>
      <c r="P4393" t="n">
        <v>0</v>
      </c>
      <c r="Q4393" t="n">
        <v>0</v>
      </c>
      <c r="R4393" s="2" t="inlineStr"/>
    </row>
    <row r="4394" ht="15" customHeight="1">
      <c r="A4394" t="inlineStr">
        <is>
          <t>A 46174-2021</t>
        </is>
      </c>
      <c r="B4394" s="1" t="n">
        <v>44442</v>
      </c>
      <c r="C4394" s="1" t="n">
        <v>45952</v>
      </c>
      <c r="D4394" t="inlineStr">
        <is>
          <t>ÖREBRO LÄN</t>
        </is>
      </c>
      <c r="E4394" t="inlineStr">
        <is>
          <t>ASKERSUND</t>
        </is>
      </c>
      <c r="G4394" t="n">
        <v>15.7</v>
      </c>
      <c r="H4394" t="n">
        <v>0</v>
      </c>
      <c r="I4394" t="n">
        <v>0</v>
      </c>
      <c r="J4394" t="n">
        <v>0</v>
      </c>
      <c r="K4394" t="n">
        <v>0</v>
      </c>
      <c r="L4394" t="n">
        <v>0</v>
      </c>
      <c r="M4394" t="n">
        <v>0</v>
      </c>
      <c r="N4394" t="n">
        <v>0</v>
      </c>
      <c r="O4394" t="n">
        <v>0</v>
      </c>
      <c r="P4394" t="n">
        <v>0</v>
      </c>
      <c r="Q4394" t="n">
        <v>0</v>
      </c>
      <c r="R4394" s="2" t="inlineStr"/>
    </row>
    <row r="4395" ht="15" customHeight="1">
      <c r="A4395" t="inlineStr">
        <is>
          <t>A 44210-2022</t>
        </is>
      </c>
      <c r="B4395" s="1" t="n">
        <v>44839.495</v>
      </c>
      <c r="C4395" s="1" t="n">
        <v>45952</v>
      </c>
      <c r="D4395" t="inlineStr">
        <is>
          <t>ÖREBRO LÄN</t>
        </is>
      </c>
      <c r="E4395" t="inlineStr">
        <is>
          <t>HALLSBERG</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44284-2022</t>
        </is>
      </c>
      <c r="B4396" s="1" t="n">
        <v>44839.59194444444</v>
      </c>
      <c r="C4396" s="1" t="n">
        <v>45952</v>
      </c>
      <c r="D4396" t="inlineStr">
        <is>
          <t>ÖREBRO LÄN</t>
        </is>
      </c>
      <c r="E4396" t="inlineStr">
        <is>
          <t>ÖREBRO</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31094-2024</t>
        </is>
      </c>
      <c r="B4397" s="1" t="n">
        <v>45502</v>
      </c>
      <c r="C4397" s="1" t="n">
        <v>45952</v>
      </c>
      <c r="D4397" t="inlineStr">
        <is>
          <t>ÖREBRO LÄN</t>
        </is>
      </c>
      <c r="E4397" t="inlineStr">
        <is>
          <t>HALLSBERG</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38556-2024</t>
        </is>
      </c>
      <c r="B4398" s="1" t="n">
        <v>45546.61826388889</v>
      </c>
      <c r="C4398" s="1" t="n">
        <v>45952</v>
      </c>
      <c r="D4398" t="inlineStr">
        <is>
          <t>ÖREBRO LÄN</t>
        </is>
      </c>
      <c r="E4398" t="inlineStr">
        <is>
          <t>ASKERSUND</t>
        </is>
      </c>
      <c r="F4398" t="inlineStr">
        <is>
          <t>Sveaskog</t>
        </is>
      </c>
      <c r="G4398" t="n">
        <v>4.8</v>
      </c>
      <c r="H4398" t="n">
        <v>0</v>
      </c>
      <c r="I4398" t="n">
        <v>0</v>
      </c>
      <c r="J4398" t="n">
        <v>0</v>
      </c>
      <c r="K4398" t="n">
        <v>0</v>
      </c>
      <c r="L4398" t="n">
        <v>0</v>
      </c>
      <c r="M4398" t="n">
        <v>0</v>
      </c>
      <c r="N4398" t="n">
        <v>0</v>
      </c>
      <c r="O4398" t="n">
        <v>0</v>
      </c>
      <c r="P4398" t="n">
        <v>0</v>
      </c>
      <c r="Q4398" t="n">
        <v>0</v>
      </c>
      <c r="R4398" s="2" t="inlineStr"/>
    </row>
    <row r="4399" ht="15" customHeight="1">
      <c r="A4399" t="inlineStr">
        <is>
          <t>A 38613-2024</t>
        </is>
      </c>
      <c r="B4399" s="1" t="n">
        <v>45546.68743055555</v>
      </c>
      <c r="C4399" s="1" t="n">
        <v>45952</v>
      </c>
      <c r="D4399" t="inlineStr">
        <is>
          <t>ÖREBRO LÄN</t>
        </is>
      </c>
      <c r="E4399" t="inlineStr">
        <is>
          <t>LINDESBERG</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16613-2023</t>
        </is>
      </c>
      <c r="B4400" s="1" t="n">
        <v>45030</v>
      </c>
      <c r="C4400" s="1" t="n">
        <v>45952</v>
      </c>
      <c r="D4400" t="inlineStr">
        <is>
          <t>ÖREBRO LÄN</t>
        </is>
      </c>
      <c r="E4400" t="inlineStr">
        <is>
          <t>LJUSNARSBERG</t>
        </is>
      </c>
      <c r="F4400" t="inlineStr">
        <is>
          <t>Sveaskog</t>
        </is>
      </c>
      <c r="G4400" t="n">
        <v>0.6</v>
      </c>
      <c r="H4400" t="n">
        <v>0</v>
      </c>
      <c r="I4400" t="n">
        <v>0</v>
      </c>
      <c r="J4400" t="n">
        <v>0</v>
      </c>
      <c r="K4400" t="n">
        <v>0</v>
      </c>
      <c r="L4400" t="n">
        <v>0</v>
      </c>
      <c r="M4400" t="n">
        <v>0</v>
      </c>
      <c r="N4400" t="n">
        <v>0</v>
      </c>
      <c r="O4400" t="n">
        <v>0</v>
      </c>
      <c r="P4400" t="n">
        <v>0</v>
      </c>
      <c r="Q4400" t="n">
        <v>0</v>
      </c>
      <c r="R4400" s="2" t="inlineStr"/>
    </row>
    <row r="4401" ht="15" customHeight="1">
      <c r="A4401" t="inlineStr">
        <is>
          <t>A 16642-2023</t>
        </is>
      </c>
      <c r="B4401" s="1" t="n">
        <v>45030</v>
      </c>
      <c r="C4401" s="1" t="n">
        <v>45952</v>
      </c>
      <c r="D4401" t="inlineStr">
        <is>
          <t>ÖREBRO LÄN</t>
        </is>
      </c>
      <c r="E4401" t="inlineStr">
        <is>
          <t>ASKERSUND</t>
        </is>
      </c>
      <c r="G4401" t="n">
        <v>7.9</v>
      </c>
      <c r="H4401" t="n">
        <v>0</v>
      </c>
      <c r="I4401" t="n">
        <v>0</v>
      </c>
      <c r="J4401" t="n">
        <v>0</v>
      </c>
      <c r="K4401" t="n">
        <v>0</v>
      </c>
      <c r="L4401" t="n">
        <v>0</v>
      </c>
      <c r="M4401" t="n">
        <v>0</v>
      </c>
      <c r="N4401" t="n">
        <v>0</v>
      </c>
      <c r="O4401" t="n">
        <v>0</v>
      </c>
      <c r="P4401" t="n">
        <v>0</v>
      </c>
      <c r="Q4401" t="n">
        <v>0</v>
      </c>
      <c r="R4401" s="2" t="inlineStr"/>
    </row>
    <row r="4402" ht="15" customHeight="1">
      <c r="A4402" t="inlineStr">
        <is>
          <t>A 35833-2024</t>
        </is>
      </c>
      <c r="B4402" s="1" t="n">
        <v>45532.68699074074</v>
      </c>
      <c r="C4402" s="1" t="n">
        <v>45952</v>
      </c>
      <c r="D4402" t="inlineStr">
        <is>
          <t>ÖREBRO LÄN</t>
        </is>
      </c>
      <c r="E4402" t="inlineStr">
        <is>
          <t>ÖREBRO</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6902-2023</t>
        </is>
      </c>
      <c r="B4403" s="1" t="n">
        <v>44967.51108796296</v>
      </c>
      <c r="C4403" s="1" t="n">
        <v>45952</v>
      </c>
      <c r="D4403" t="inlineStr">
        <is>
          <t>ÖREBRO LÄN</t>
        </is>
      </c>
      <c r="E4403" t="inlineStr">
        <is>
          <t>ASKERSUND</t>
        </is>
      </c>
      <c r="F4403" t="inlineStr">
        <is>
          <t>Sveaskog</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49358-2023</t>
        </is>
      </c>
      <c r="B4404" s="1" t="n">
        <v>45211</v>
      </c>
      <c r="C4404" s="1" t="n">
        <v>45952</v>
      </c>
      <c r="D4404" t="inlineStr">
        <is>
          <t>ÖREBRO LÄN</t>
        </is>
      </c>
      <c r="E4404" t="inlineStr">
        <is>
          <t>LINDESBERG</t>
        </is>
      </c>
      <c r="F4404" t="inlineStr">
        <is>
          <t>Sveaskog</t>
        </is>
      </c>
      <c r="G4404" t="n">
        <v>4.7</v>
      </c>
      <c r="H4404" t="n">
        <v>0</v>
      </c>
      <c r="I4404" t="n">
        <v>0</v>
      </c>
      <c r="J4404" t="n">
        <v>0</v>
      </c>
      <c r="K4404" t="n">
        <v>0</v>
      </c>
      <c r="L4404" t="n">
        <v>0</v>
      </c>
      <c r="M4404" t="n">
        <v>0</v>
      </c>
      <c r="N4404" t="n">
        <v>0</v>
      </c>
      <c r="O4404" t="n">
        <v>0</v>
      </c>
      <c r="P4404" t="n">
        <v>0</v>
      </c>
      <c r="Q4404" t="n">
        <v>0</v>
      </c>
      <c r="R4404" s="2" t="inlineStr"/>
    </row>
    <row r="4405" ht="15" customHeight="1">
      <c r="A4405" t="inlineStr">
        <is>
          <t>A 3675-2023</t>
        </is>
      </c>
      <c r="B4405" s="1" t="n">
        <v>44950</v>
      </c>
      <c r="C4405" s="1" t="n">
        <v>45952</v>
      </c>
      <c r="D4405" t="inlineStr">
        <is>
          <t>ÖREBRO LÄN</t>
        </is>
      </c>
      <c r="E4405" t="inlineStr">
        <is>
          <t>ASKERSUND</t>
        </is>
      </c>
      <c r="G4405" t="n">
        <v>0.6</v>
      </c>
      <c r="H4405" t="n">
        <v>0</v>
      </c>
      <c r="I4405" t="n">
        <v>0</v>
      </c>
      <c r="J4405" t="n">
        <v>0</v>
      </c>
      <c r="K4405" t="n">
        <v>0</v>
      </c>
      <c r="L4405" t="n">
        <v>0</v>
      </c>
      <c r="M4405" t="n">
        <v>0</v>
      </c>
      <c r="N4405" t="n">
        <v>0</v>
      </c>
      <c r="O4405" t="n">
        <v>0</v>
      </c>
      <c r="P4405" t="n">
        <v>0</v>
      </c>
      <c r="Q4405" t="n">
        <v>0</v>
      </c>
      <c r="R4405" s="2" t="inlineStr"/>
    </row>
    <row r="4406" ht="15" customHeight="1">
      <c r="A4406" t="inlineStr">
        <is>
          <t>A 3680-2023</t>
        </is>
      </c>
      <c r="B4406" s="1" t="n">
        <v>44950.90216435185</v>
      </c>
      <c r="C4406" s="1" t="n">
        <v>45952</v>
      </c>
      <c r="D4406" t="inlineStr">
        <is>
          <t>ÖREBRO LÄN</t>
        </is>
      </c>
      <c r="E4406" t="inlineStr">
        <is>
          <t>ASKERSUND</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37003-2023</t>
        </is>
      </c>
      <c r="B4407" s="1" t="n">
        <v>45155</v>
      </c>
      <c r="C4407" s="1" t="n">
        <v>45952</v>
      </c>
      <c r="D4407" t="inlineStr">
        <is>
          <t>ÖREBRO LÄN</t>
        </is>
      </c>
      <c r="E4407" t="inlineStr">
        <is>
          <t>LAXÅ</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41516-2024</t>
        </is>
      </c>
      <c r="B4408" s="1" t="n">
        <v>45560</v>
      </c>
      <c r="C4408" s="1" t="n">
        <v>45952</v>
      </c>
      <c r="D4408" t="inlineStr">
        <is>
          <t>ÖREBRO LÄN</t>
        </is>
      </c>
      <c r="E4408" t="inlineStr">
        <is>
          <t>LAXÅ</t>
        </is>
      </c>
      <c r="F4408" t="inlineStr">
        <is>
          <t>Sveaskog</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13101-2025</t>
        </is>
      </c>
      <c r="B4409" s="1" t="n">
        <v>45734</v>
      </c>
      <c r="C4409" s="1" t="n">
        <v>45952</v>
      </c>
      <c r="D4409" t="inlineStr">
        <is>
          <t>ÖREBRO LÄN</t>
        </is>
      </c>
      <c r="E4409" t="inlineStr">
        <is>
          <t>LAXÅ</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13102-2025</t>
        </is>
      </c>
      <c r="B4410" s="1" t="n">
        <v>45734</v>
      </c>
      <c r="C4410" s="1" t="n">
        <v>45952</v>
      </c>
      <c r="D4410" t="inlineStr">
        <is>
          <t>ÖREBRO LÄN</t>
        </is>
      </c>
      <c r="E4410" t="inlineStr">
        <is>
          <t>LAXÅ</t>
        </is>
      </c>
      <c r="G4410" t="n">
        <v>0.6</v>
      </c>
      <c r="H4410" t="n">
        <v>0</v>
      </c>
      <c r="I4410" t="n">
        <v>0</v>
      </c>
      <c r="J4410" t="n">
        <v>0</v>
      </c>
      <c r="K4410" t="n">
        <v>0</v>
      </c>
      <c r="L4410" t="n">
        <v>0</v>
      </c>
      <c r="M4410" t="n">
        <v>0</v>
      </c>
      <c r="N4410" t="n">
        <v>0</v>
      </c>
      <c r="O4410" t="n">
        <v>0</v>
      </c>
      <c r="P4410" t="n">
        <v>0</v>
      </c>
      <c r="Q4410" t="n">
        <v>0</v>
      </c>
      <c r="R4410" s="2" t="inlineStr"/>
    </row>
    <row r="4411" ht="15" customHeight="1">
      <c r="A4411" t="inlineStr">
        <is>
          <t>A 12014-2025</t>
        </is>
      </c>
      <c r="B4411" s="1" t="n">
        <v>45728.62311342593</v>
      </c>
      <c r="C4411" s="1" t="n">
        <v>45952</v>
      </c>
      <c r="D4411" t="inlineStr">
        <is>
          <t>ÖREBRO LÄN</t>
        </is>
      </c>
      <c r="E4411" t="inlineStr">
        <is>
          <t>HALLSBERG</t>
        </is>
      </c>
      <c r="F4411" t="inlineStr">
        <is>
          <t>Sveaskog</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10076-2024</t>
        </is>
      </c>
      <c r="B4412" s="1" t="n">
        <v>45364.41105324074</v>
      </c>
      <c r="C4412" s="1" t="n">
        <v>45952</v>
      </c>
      <c r="D4412" t="inlineStr">
        <is>
          <t>ÖREBRO LÄN</t>
        </is>
      </c>
      <c r="E4412" t="inlineStr">
        <is>
          <t>ASKERSUND</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72331-2021</t>
        </is>
      </c>
      <c r="B4413" s="1" t="n">
        <v>44544</v>
      </c>
      <c r="C4413" s="1" t="n">
        <v>45952</v>
      </c>
      <c r="D4413" t="inlineStr">
        <is>
          <t>ÖREBRO LÄN</t>
        </is>
      </c>
      <c r="E4413" t="inlineStr">
        <is>
          <t>LINDESBERG</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47202-2024</t>
        </is>
      </c>
      <c r="B4414" s="1" t="n">
        <v>45586.63421296296</v>
      </c>
      <c r="C4414" s="1" t="n">
        <v>45952</v>
      </c>
      <c r="D4414" t="inlineStr">
        <is>
          <t>ÖREBRO LÄN</t>
        </is>
      </c>
      <c r="E4414" t="inlineStr">
        <is>
          <t>ASKERSUND</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58499-2022</t>
        </is>
      </c>
      <c r="B4415" s="1" t="n">
        <v>44902.3759375</v>
      </c>
      <c r="C4415" s="1" t="n">
        <v>45952</v>
      </c>
      <c r="D4415" t="inlineStr">
        <is>
          <t>ÖREBRO LÄN</t>
        </is>
      </c>
      <c r="E4415" t="inlineStr">
        <is>
          <t>HÄLLEFORS</t>
        </is>
      </c>
      <c r="F4415" t="inlineStr">
        <is>
          <t>Bergvik skog väst AB</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11631-2022</t>
        </is>
      </c>
      <c r="B4416" s="1" t="n">
        <v>44631</v>
      </c>
      <c r="C4416" s="1" t="n">
        <v>45952</v>
      </c>
      <c r="D4416" t="inlineStr">
        <is>
          <t>ÖREBRO LÄN</t>
        </is>
      </c>
      <c r="E4416" t="inlineStr">
        <is>
          <t>NORA</t>
        </is>
      </c>
      <c r="F4416" t="inlineStr">
        <is>
          <t>Sveaskog</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11663-2024</t>
        </is>
      </c>
      <c r="B4417" s="1" t="n">
        <v>45373</v>
      </c>
      <c r="C4417" s="1" t="n">
        <v>45952</v>
      </c>
      <c r="D4417" t="inlineStr">
        <is>
          <t>ÖREBRO LÄN</t>
        </is>
      </c>
      <c r="E4417" t="inlineStr">
        <is>
          <t>ÖREBRO</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42198-2021</t>
        </is>
      </c>
      <c r="B4418" s="1" t="n">
        <v>44426</v>
      </c>
      <c r="C4418" s="1" t="n">
        <v>45952</v>
      </c>
      <c r="D4418" t="inlineStr">
        <is>
          <t>ÖREBRO LÄN</t>
        </is>
      </c>
      <c r="E4418" t="inlineStr">
        <is>
          <t>ASKERSUND</t>
        </is>
      </c>
      <c r="F4418" t="inlineStr">
        <is>
          <t>Sveaskog</t>
        </is>
      </c>
      <c r="G4418" t="n">
        <v>0.7</v>
      </c>
      <c r="H4418" t="n">
        <v>0</v>
      </c>
      <c r="I4418" t="n">
        <v>0</v>
      </c>
      <c r="J4418" t="n">
        <v>0</v>
      </c>
      <c r="K4418" t="n">
        <v>0</v>
      </c>
      <c r="L4418" t="n">
        <v>0</v>
      </c>
      <c r="M4418" t="n">
        <v>0</v>
      </c>
      <c r="N4418" t="n">
        <v>0</v>
      </c>
      <c r="O4418" t="n">
        <v>0</v>
      </c>
      <c r="P4418" t="n">
        <v>0</v>
      </c>
      <c r="Q4418" t="n">
        <v>0</v>
      </c>
      <c r="R4418" s="2" t="inlineStr"/>
    </row>
    <row r="4419" ht="15" customHeight="1">
      <c r="A4419" t="inlineStr">
        <is>
          <t>A 59892-2021</t>
        </is>
      </c>
      <c r="B4419" s="1" t="n">
        <v>44494</v>
      </c>
      <c r="C4419" s="1" t="n">
        <v>45952</v>
      </c>
      <c r="D4419" t="inlineStr">
        <is>
          <t>ÖREBRO LÄN</t>
        </is>
      </c>
      <c r="E4419" t="inlineStr">
        <is>
          <t>LAXÅ</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58608-2024</t>
        </is>
      </c>
      <c r="B4420" s="1" t="n">
        <v>45635.55185185185</v>
      </c>
      <c r="C4420" s="1" t="n">
        <v>45952</v>
      </c>
      <c r="D4420" t="inlineStr">
        <is>
          <t>ÖREBRO LÄN</t>
        </is>
      </c>
      <c r="E4420" t="inlineStr">
        <is>
          <t>ÖREBRO</t>
        </is>
      </c>
      <c r="F4420" t="inlineStr">
        <is>
          <t>Sveaskog</t>
        </is>
      </c>
      <c r="G4420" t="n">
        <v>0.3</v>
      </c>
      <c r="H4420" t="n">
        <v>0</v>
      </c>
      <c r="I4420" t="n">
        <v>0</v>
      </c>
      <c r="J4420" t="n">
        <v>0</v>
      </c>
      <c r="K4420" t="n">
        <v>0</v>
      </c>
      <c r="L4420" t="n">
        <v>0</v>
      </c>
      <c r="M4420" t="n">
        <v>0</v>
      </c>
      <c r="N4420" t="n">
        <v>0</v>
      </c>
      <c r="O4420" t="n">
        <v>0</v>
      </c>
      <c r="P4420" t="n">
        <v>0</v>
      </c>
      <c r="Q4420" t="n">
        <v>0</v>
      </c>
      <c r="R4420" s="2" t="inlineStr"/>
    </row>
    <row r="4421" ht="15" customHeight="1">
      <c r="A4421" t="inlineStr">
        <is>
          <t>A 62319-2023</t>
        </is>
      </c>
      <c r="B4421" s="1" t="n">
        <v>45267.75094907408</v>
      </c>
      <c r="C4421" s="1" t="n">
        <v>45952</v>
      </c>
      <c r="D4421" t="inlineStr">
        <is>
          <t>ÖREBRO LÄN</t>
        </is>
      </c>
      <c r="E4421" t="inlineStr">
        <is>
          <t>ASKERSUND</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8366-2025</t>
        </is>
      </c>
      <c r="B4422" s="1" t="n">
        <v>45708</v>
      </c>
      <c r="C4422" s="1" t="n">
        <v>45952</v>
      </c>
      <c r="D4422" t="inlineStr">
        <is>
          <t>ÖREBRO LÄN</t>
        </is>
      </c>
      <c r="E4422" t="inlineStr">
        <is>
          <t>ASKERSUND</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6842-2022</t>
        </is>
      </c>
      <c r="B4423" s="1" t="n">
        <v>44602.63045138889</v>
      </c>
      <c r="C4423" s="1" t="n">
        <v>45952</v>
      </c>
      <c r="D4423" t="inlineStr">
        <is>
          <t>ÖREBRO LÄN</t>
        </is>
      </c>
      <c r="E4423" t="inlineStr">
        <is>
          <t>LAXÅ</t>
        </is>
      </c>
      <c r="G4423" t="n">
        <v>0.9</v>
      </c>
      <c r="H4423" t="n">
        <v>0</v>
      </c>
      <c r="I4423" t="n">
        <v>0</v>
      </c>
      <c r="J4423" t="n">
        <v>0</v>
      </c>
      <c r="K4423" t="n">
        <v>0</v>
      </c>
      <c r="L4423" t="n">
        <v>0</v>
      </c>
      <c r="M4423" t="n">
        <v>0</v>
      </c>
      <c r="N4423" t="n">
        <v>0</v>
      </c>
      <c r="O4423" t="n">
        <v>0</v>
      </c>
      <c r="P4423" t="n">
        <v>0</v>
      </c>
      <c r="Q4423" t="n">
        <v>0</v>
      </c>
      <c r="R4423" s="2" t="inlineStr"/>
    </row>
    <row r="4424" ht="15" customHeight="1">
      <c r="A4424" t="inlineStr">
        <is>
          <t>A 6071-2021</t>
        </is>
      </c>
      <c r="B4424" s="1" t="n">
        <v>44232</v>
      </c>
      <c r="C4424" s="1" t="n">
        <v>45952</v>
      </c>
      <c r="D4424" t="inlineStr">
        <is>
          <t>ÖREBRO LÄN</t>
        </is>
      </c>
      <c r="E4424" t="inlineStr">
        <is>
          <t>KUMLA</t>
        </is>
      </c>
      <c r="G4424" t="n">
        <v>3.8</v>
      </c>
      <c r="H4424" t="n">
        <v>0</v>
      </c>
      <c r="I4424" t="n">
        <v>0</v>
      </c>
      <c r="J4424" t="n">
        <v>0</v>
      </c>
      <c r="K4424" t="n">
        <v>0</v>
      </c>
      <c r="L4424" t="n">
        <v>0</v>
      </c>
      <c r="M4424" t="n">
        <v>0</v>
      </c>
      <c r="N4424" t="n">
        <v>0</v>
      </c>
      <c r="O4424" t="n">
        <v>0</v>
      </c>
      <c r="P4424" t="n">
        <v>0</v>
      </c>
      <c r="Q4424" t="n">
        <v>0</v>
      </c>
      <c r="R4424" s="2" t="inlineStr"/>
    </row>
    <row r="4425" ht="15" customHeight="1">
      <c r="A4425" t="inlineStr">
        <is>
          <t>A 49885-2024</t>
        </is>
      </c>
      <c r="B4425" s="1" t="n">
        <v>45597.51060185185</v>
      </c>
      <c r="C4425" s="1" t="n">
        <v>45952</v>
      </c>
      <c r="D4425" t="inlineStr">
        <is>
          <t>ÖREBRO LÄN</t>
        </is>
      </c>
      <c r="E4425" t="inlineStr">
        <is>
          <t>LAXÅ</t>
        </is>
      </c>
      <c r="F4425" t="inlineStr">
        <is>
          <t>Sveaskog</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54663-2021</t>
        </is>
      </c>
      <c r="B4426" s="1" t="n">
        <v>44473.6343287037</v>
      </c>
      <c r="C4426" s="1" t="n">
        <v>45952</v>
      </c>
      <c r="D4426" t="inlineStr">
        <is>
          <t>ÖREBRO LÄN</t>
        </is>
      </c>
      <c r="E4426" t="inlineStr">
        <is>
          <t>LINDESBERG</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3643-2023</t>
        </is>
      </c>
      <c r="B4427" s="1" t="n">
        <v>44950.69260416667</v>
      </c>
      <c r="C4427" s="1" t="n">
        <v>45952</v>
      </c>
      <c r="D4427" t="inlineStr">
        <is>
          <t>ÖREBRO LÄN</t>
        </is>
      </c>
      <c r="E4427" t="inlineStr">
        <is>
          <t>LEKEBERG</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54723-2021</t>
        </is>
      </c>
      <c r="B4428" s="1" t="n">
        <v>44473.82302083333</v>
      </c>
      <c r="C4428" s="1" t="n">
        <v>45952</v>
      </c>
      <c r="D4428" t="inlineStr">
        <is>
          <t>ÖREBRO LÄN</t>
        </is>
      </c>
      <c r="E4428" t="inlineStr">
        <is>
          <t>ASKERSUND</t>
        </is>
      </c>
      <c r="G4428" t="n">
        <v>3</v>
      </c>
      <c r="H4428" t="n">
        <v>0</v>
      </c>
      <c r="I4428" t="n">
        <v>0</v>
      </c>
      <c r="J4428" t="n">
        <v>0</v>
      </c>
      <c r="K4428" t="n">
        <v>0</v>
      </c>
      <c r="L4428" t="n">
        <v>0</v>
      </c>
      <c r="M4428" t="n">
        <v>0</v>
      </c>
      <c r="N4428" t="n">
        <v>0</v>
      </c>
      <c r="O4428" t="n">
        <v>0</v>
      </c>
      <c r="P4428" t="n">
        <v>0</v>
      </c>
      <c r="Q4428" t="n">
        <v>0</v>
      </c>
      <c r="R4428" s="2" t="inlineStr"/>
    </row>
    <row r="4429" ht="15" customHeight="1">
      <c r="A4429" t="inlineStr">
        <is>
          <t>A 14007-2024</t>
        </is>
      </c>
      <c r="B4429" s="1" t="n">
        <v>45392.47525462963</v>
      </c>
      <c r="C4429" s="1" t="n">
        <v>45952</v>
      </c>
      <c r="D4429" t="inlineStr">
        <is>
          <t>ÖREBRO LÄN</t>
        </is>
      </c>
      <c r="E4429" t="inlineStr">
        <is>
          <t>LAXÅ</t>
        </is>
      </c>
      <c r="F4429" t="inlineStr">
        <is>
          <t>Sveaskog</t>
        </is>
      </c>
      <c r="G4429" t="n">
        <v>2.8</v>
      </c>
      <c r="H4429" t="n">
        <v>0</v>
      </c>
      <c r="I4429" t="n">
        <v>0</v>
      </c>
      <c r="J4429" t="n">
        <v>0</v>
      </c>
      <c r="K4429" t="n">
        <v>0</v>
      </c>
      <c r="L4429" t="n">
        <v>0</v>
      </c>
      <c r="M4429" t="n">
        <v>0</v>
      </c>
      <c r="N4429" t="n">
        <v>0</v>
      </c>
      <c r="O4429" t="n">
        <v>0</v>
      </c>
      <c r="P4429" t="n">
        <v>0</v>
      </c>
      <c r="Q4429" t="n">
        <v>0</v>
      </c>
      <c r="R4429" s="2" t="inlineStr"/>
    </row>
    <row r="4430" ht="15" customHeight="1">
      <c r="A4430" t="inlineStr">
        <is>
          <t>A 57795-2021</t>
        </is>
      </c>
      <c r="B4430" s="1" t="n">
        <v>44484</v>
      </c>
      <c r="C4430" s="1" t="n">
        <v>45952</v>
      </c>
      <c r="D4430" t="inlineStr">
        <is>
          <t>ÖREBRO LÄN</t>
        </is>
      </c>
      <c r="E4430" t="inlineStr">
        <is>
          <t>LINDESBERG</t>
        </is>
      </c>
      <c r="G4430" t="n">
        <v>39.4</v>
      </c>
      <c r="H4430" t="n">
        <v>0</v>
      </c>
      <c r="I4430" t="n">
        <v>0</v>
      </c>
      <c r="J4430" t="n">
        <v>0</v>
      </c>
      <c r="K4430" t="n">
        <v>0</v>
      </c>
      <c r="L4430" t="n">
        <v>0</v>
      </c>
      <c r="M4430" t="n">
        <v>0</v>
      </c>
      <c r="N4430" t="n">
        <v>0</v>
      </c>
      <c r="O4430" t="n">
        <v>0</v>
      </c>
      <c r="P4430" t="n">
        <v>0</v>
      </c>
      <c r="Q4430" t="n">
        <v>0</v>
      </c>
      <c r="R4430" s="2" t="inlineStr"/>
    </row>
    <row r="4431" ht="15" customHeight="1">
      <c r="A4431" t="inlineStr">
        <is>
          <t>A 58420-2021</t>
        </is>
      </c>
      <c r="B4431" s="1" t="n">
        <v>44488</v>
      </c>
      <c r="C4431" s="1" t="n">
        <v>45952</v>
      </c>
      <c r="D4431" t="inlineStr">
        <is>
          <t>ÖREBRO LÄN</t>
        </is>
      </c>
      <c r="E4431" t="inlineStr">
        <is>
          <t>ASKERSUND</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15356-2023</t>
        </is>
      </c>
      <c r="B4432" s="1" t="n">
        <v>45019</v>
      </c>
      <c r="C4432" s="1" t="n">
        <v>45952</v>
      </c>
      <c r="D4432" t="inlineStr">
        <is>
          <t>ÖREBRO LÄN</t>
        </is>
      </c>
      <c r="E4432" t="inlineStr">
        <is>
          <t>KUMLA</t>
        </is>
      </c>
      <c r="G4432" t="n">
        <v>1.3</v>
      </c>
      <c r="H4432" t="n">
        <v>0</v>
      </c>
      <c r="I4432" t="n">
        <v>0</v>
      </c>
      <c r="J4432" t="n">
        <v>0</v>
      </c>
      <c r="K4432" t="n">
        <v>0</v>
      </c>
      <c r="L4432" t="n">
        <v>0</v>
      </c>
      <c r="M4432" t="n">
        <v>0</v>
      </c>
      <c r="N4432" t="n">
        <v>0</v>
      </c>
      <c r="O4432" t="n">
        <v>0</v>
      </c>
      <c r="P4432" t="n">
        <v>0</v>
      </c>
      <c r="Q4432" t="n">
        <v>0</v>
      </c>
      <c r="R4432" s="2" t="inlineStr"/>
    </row>
    <row r="4433">
      <c r="A4433" t="inlineStr">
        <is>
          <t>A 27031-2024</t>
        </is>
      </c>
      <c r="B4433" s="1" t="n">
        <v>45471.42659722222</v>
      </c>
      <c r="C4433" s="1" t="n">
        <v>45952</v>
      </c>
      <c r="D4433" t="inlineStr">
        <is>
          <t>ÖREBRO LÄN</t>
        </is>
      </c>
      <c r="E4433" t="inlineStr">
        <is>
          <t>LINDESBERG</t>
        </is>
      </c>
      <c r="G4433" t="n">
        <v>1.1</v>
      </c>
      <c r="H4433" t="n">
        <v>0</v>
      </c>
      <c r="I4433" t="n">
        <v>0</v>
      </c>
      <c r="J4433" t="n">
        <v>0</v>
      </c>
      <c r="K4433" t="n">
        <v>0</v>
      </c>
      <c r="L4433" t="n">
        <v>0</v>
      </c>
      <c r="M4433" t="n">
        <v>0</v>
      </c>
      <c r="N4433" t="n">
        <v>0</v>
      </c>
      <c r="O4433" t="n">
        <v>0</v>
      </c>
      <c r="P4433" t="n">
        <v>0</v>
      </c>
      <c r="Q4433" t="n">
        <v>0</v>
      </c>
      <c r="R443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2025-10-22T11:32:17Z</dcterms:created>
  <dcterms:modified xmlns:dcterms="http://purl.org/dc/terms/" xmlns:xsi="http://www.w3.org/2001/XMLSchema-instance" xsi:type="dcterms:W3CDTF">2025-10-22T11:32:20Z</dcterms:modified>
</cp:coreProperties>
</file>